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4940" windowHeight="7875" tabRatio="848" activeTab="0"/>
  </bookViews>
  <sheets>
    <sheet name="Ingatlanok alakulása" sheetId="1" r:id="rId1"/>
    <sheet name="LTP szerződések alakulása" sheetId="2" r:id="rId2"/>
    <sheet name="LTP-re átutalás" sheetId="3" r:id="rId3"/>
    <sheet name="Befizetések összesítése" sheetId="4" r:id="rId4"/>
    <sheet name="Lakossági befiz. részletezése" sheetId="5" r:id="rId5"/>
    <sheet name="Hátralékos kimutatás" sheetId="6" r:id="rId6"/>
    <sheet name="Adóhatósági átadások" sheetId="7" r:id="rId7"/>
    <sheet name="Teljesen rendezett" sheetId="8" r:id="rId8"/>
    <sheet name="Hátralékos LTP futamidő végéig" sheetId="9" r:id="rId9"/>
    <sheet name="Hátralékok összehasonlítása" sheetId="10" r:id="rId10"/>
    <sheet name="Várható költségek 2011-2014" sheetId="11" r:id="rId11"/>
    <sheet name="Pénzkészlet a gerincre nem LTP" sheetId="12" r:id="rId12"/>
  </sheets>
  <definedNames/>
  <calcPr fullCalcOnLoad="1"/>
</workbook>
</file>

<file path=xl/sharedStrings.xml><?xml version="1.0" encoding="utf-8"?>
<sst xmlns="http://schemas.openxmlformats.org/spreadsheetml/2006/main" count="642" uniqueCount="196">
  <si>
    <t>Magánszemélyek</t>
  </si>
  <si>
    <t>Makó</t>
  </si>
  <si>
    <t>Apátfalva</t>
  </si>
  <si>
    <t>Földeák</t>
  </si>
  <si>
    <t>Kiszombor</t>
  </si>
  <si>
    <t>Magyarcsanád</t>
  </si>
  <si>
    <t>Maroslele</t>
  </si>
  <si>
    <t>Összesen</t>
  </si>
  <si>
    <t>LTP szerződések száma</t>
  </si>
  <si>
    <t>Havi részletfizetéses szerződések száma</t>
  </si>
  <si>
    <t>Összes szerződéses ingatlan</t>
  </si>
  <si>
    <t>Összes ingatlanok száma</t>
  </si>
  <si>
    <t>Szerződések %-ban (LTP+részletfizetés)</t>
  </si>
  <si>
    <t>Jogi személyek és vállalkozók</t>
  </si>
  <si>
    <t>Ingatlanok száma</t>
  </si>
  <si>
    <t>Fizetendő egységek száma</t>
  </si>
  <si>
    <t xml:space="preserve">LTP szerződések </t>
  </si>
  <si>
    <t>Megkötött LTP szerződések száma</t>
  </si>
  <si>
    <t>Törölt LTP szerződések száma</t>
  </si>
  <si>
    <t>Élő LTP szerződések száma</t>
  </si>
  <si>
    <t>Törölt LTP szerződések %-ban kifejezve</t>
  </si>
  <si>
    <t>Település</t>
  </si>
  <si>
    <t>Alapítványi (Önk.) támogatás</t>
  </si>
  <si>
    <t>Ügyfél befizetése</t>
  </si>
  <si>
    <t>Összes átutalás</t>
  </si>
  <si>
    <t>Szerződés fajtája</t>
  </si>
  <si>
    <t>Előírás</t>
  </si>
  <si>
    <t>Befizetés</t>
  </si>
  <si>
    <t>Hátralék</t>
  </si>
  <si>
    <t>Hátralék %-ban</t>
  </si>
  <si>
    <t>LTP szerződéses</t>
  </si>
  <si>
    <t>Havi részletfizetéses</t>
  </si>
  <si>
    <t>Szerződéssel nem rendelkezők</t>
  </si>
  <si>
    <t>Vállalkozások</t>
  </si>
  <si>
    <t>Település összesen</t>
  </si>
  <si>
    <t xml:space="preserve">Összesen </t>
  </si>
  <si>
    <t>a</t>
  </si>
  <si>
    <t>b</t>
  </si>
  <si>
    <t>c</t>
  </si>
  <si>
    <t>d</t>
  </si>
  <si>
    <t>e</t>
  </si>
  <si>
    <t>f</t>
  </si>
  <si>
    <t>g</t>
  </si>
  <si>
    <t>h</t>
  </si>
  <si>
    <t>Átadott tartozások 2006. 07.15-től</t>
  </si>
  <si>
    <t>Visszavont és befizetett 2006.07.15-től</t>
  </si>
  <si>
    <t>Visszavonás után fennmaradó behajtások (c-d)</t>
  </si>
  <si>
    <t>Önkormányzat által behajtásra került 2006.12.13-tól</t>
  </si>
  <si>
    <t>Behajtás %-ban (f/e)</t>
  </si>
  <si>
    <t>LTP szerződéssel rendelkezők</t>
  </si>
  <si>
    <t>szerződéssel nem rendelkezők</t>
  </si>
  <si>
    <t>vállalkozások</t>
  </si>
  <si>
    <t>összesen</t>
  </si>
  <si>
    <t>Magánszemélyek befizetései összesen</t>
  </si>
  <si>
    <t>Társulattal részletizetési megállapodást kötöttek</t>
  </si>
  <si>
    <t>Szerződést nem kötött magánszemélyek</t>
  </si>
  <si>
    <t>Tagi befizetések összesen</t>
  </si>
  <si>
    <t xml:space="preserve">LTP szerződéssel rendelkező magánszemélyek     </t>
  </si>
  <si>
    <t>1. számú táblázat</t>
  </si>
  <si>
    <t>2. számú táblázat</t>
  </si>
  <si>
    <t>3. számű táblázat</t>
  </si>
  <si>
    <t>4. számú táblázat</t>
  </si>
  <si>
    <t>5. számú táblázat</t>
  </si>
  <si>
    <t>6. számú táblázat</t>
  </si>
  <si>
    <t>Összes lakóingatlanok száma</t>
  </si>
  <si>
    <t>Tipus</t>
  </si>
  <si>
    <t>Befizetett díjak összesen</t>
  </si>
  <si>
    <t>Befizetés gerincre</t>
  </si>
  <si>
    <t>Befizetés belsőre</t>
  </si>
  <si>
    <t>Befizetés LTP-re</t>
  </si>
  <si>
    <t>Összes befizetés</t>
  </si>
  <si>
    <t>Belsőre</t>
  </si>
  <si>
    <t>Gerincre</t>
  </si>
  <si>
    <t>Kamatra</t>
  </si>
  <si>
    <t>Működési költségre</t>
  </si>
  <si>
    <t>7. számú táblázat</t>
  </si>
  <si>
    <t>Összes egység</t>
  </si>
  <si>
    <t>8. számú táblázat</t>
  </si>
  <si>
    <t>37.89%</t>
  </si>
  <si>
    <t>Befizetés kamatra</t>
  </si>
  <si>
    <t>Befizetés működési költségre</t>
  </si>
  <si>
    <t>Gerinc fedezete</t>
  </si>
  <si>
    <t>Belső fedezete</t>
  </si>
  <si>
    <t>LTP-re befizetve</t>
  </si>
  <si>
    <t>Hátralékok %-ban kifejezve</t>
  </si>
  <si>
    <t>10. számú táblázat</t>
  </si>
  <si>
    <t>Élő LTP szerződéssel rendelkező ingatlanok  %-ban</t>
  </si>
  <si>
    <t>Időarányos túlfizetés</t>
  </si>
  <si>
    <t>Szerződéses összegen túli túlifzetés</t>
  </si>
  <si>
    <t>többletfizetés</t>
  </si>
  <si>
    <t>(tartalmazza a belső bekötésre befizetett összeget is)</t>
  </si>
  <si>
    <t>Egységek száma</t>
  </si>
  <si>
    <t>Teljesen rendezett egységek száma</t>
  </si>
  <si>
    <t>Futamidő végéig fizetve %-ban</t>
  </si>
  <si>
    <t>Hátralékos egységek száma</t>
  </si>
  <si>
    <t>Hátralékos egységek %-ban</t>
  </si>
  <si>
    <t>Hátralékos hónapok száma</t>
  </si>
  <si>
    <t>Befolyt bevételek</t>
  </si>
  <si>
    <t>Gerincre 2005</t>
  </si>
  <si>
    <t>Gerincre 2006</t>
  </si>
  <si>
    <t>Gerincre 2007</t>
  </si>
  <si>
    <t>Gerincre 2008</t>
  </si>
  <si>
    <t>Gerincre 2009</t>
  </si>
  <si>
    <t>Gerincre 2010</t>
  </si>
  <si>
    <t>Gerincre 2011</t>
  </si>
  <si>
    <t>Gerincre 2012</t>
  </si>
  <si>
    <t>Társulásnak átadott pénzeszközök településenkénti megbontásban</t>
  </si>
  <si>
    <t>Átadás 2005</t>
  </si>
  <si>
    <t>Átadás 2006</t>
  </si>
  <si>
    <t>Átadás 2007</t>
  </si>
  <si>
    <t>Átadás 2008</t>
  </si>
  <si>
    <t>Átadás 2009</t>
  </si>
  <si>
    <t>Átadás 2010</t>
  </si>
  <si>
    <t>Átadás 2011</t>
  </si>
  <si>
    <t>Átadás 2012</t>
  </si>
  <si>
    <t>Felhasználható pénzeszközök</t>
  </si>
  <si>
    <t>Átadható 2005</t>
  </si>
  <si>
    <t>Átadható 2006</t>
  </si>
  <si>
    <t>Átadható 2007</t>
  </si>
  <si>
    <t>Átadható 2008</t>
  </si>
  <si>
    <t>Átadható 2009</t>
  </si>
  <si>
    <t>Átadható 2010</t>
  </si>
  <si>
    <t>Átadható 2011</t>
  </si>
  <si>
    <t>Átadható 2012</t>
  </si>
  <si>
    <t>(lakos+vállalkozás+önkormányzatok)</t>
  </si>
  <si>
    <t>A fentiek után még fizetendő Önkormányzati támogatások</t>
  </si>
  <si>
    <t>62 hónapos</t>
  </si>
  <si>
    <t>49 hónapos</t>
  </si>
  <si>
    <t>Mindösszesen</t>
  </si>
  <si>
    <t>Önk. Tám. Kamatra</t>
  </si>
  <si>
    <t>Önk. Tám. működési költségre</t>
  </si>
  <si>
    <t>Önk. Tám. LTP-re</t>
  </si>
  <si>
    <t>Összes Önk. Tám.</t>
  </si>
  <si>
    <t>(várhatóan 2011.02.28. után beérkezett befizetések esetében)</t>
  </si>
  <si>
    <t>Földeák és Kiszombor község a ténylegesen felmerülő költségek átvállalásával támogatja</t>
  </si>
  <si>
    <t>a lakosokat, LTP kiegészítés nincs.</t>
  </si>
  <si>
    <t>tényleges</t>
  </si>
  <si>
    <t>LTP 62 hó</t>
  </si>
  <si>
    <t>LTP 49 hó</t>
  </si>
  <si>
    <t>Részletfiz.</t>
  </si>
  <si>
    <t>Hátralékos szerződések 2011.02.28.</t>
  </si>
  <si>
    <t>Típus</t>
  </si>
  <si>
    <t>Ingatlanokkal kapcsolatos adatok településenként 2011.02.28-i állapot szerint</t>
  </si>
  <si>
    <t>LTP szerződések alakulása a 2005.12.01-től 2011.02.28-ig</t>
  </si>
  <si>
    <t>Megnevezés</t>
  </si>
  <si>
    <t>2010 (bázisév)</t>
  </si>
  <si>
    <t>2011. év</t>
  </si>
  <si>
    <t>vált. %-ban</t>
  </si>
  <si>
    <t>2012. év</t>
  </si>
  <si>
    <t>2013. év</t>
  </si>
  <si>
    <t>2014. év</t>
  </si>
  <si>
    <t>Összesen 2011-2014</t>
  </si>
  <si>
    <t>Anyagköltség</t>
  </si>
  <si>
    <t>Igénybe vett szolgáltatások</t>
  </si>
  <si>
    <t>Egyéb szolgáltatás</t>
  </si>
  <si>
    <t>Bérköltség</t>
  </si>
  <si>
    <t>Bérjárulékok</t>
  </si>
  <si>
    <t>Tartalék</t>
  </si>
  <si>
    <t>Aktív LTP szerződésekre átutalt összegek 2011. 02. 28-i állapot szerint</t>
  </si>
  <si>
    <t xml:space="preserve">1 év átlagában </t>
  </si>
  <si>
    <t>Várható költségek 2011-2014-ig</t>
  </si>
  <si>
    <t>Személyi jellegű egyéb kifizetések</t>
  </si>
  <si>
    <t>Befizetések és hátralékok kimutatása 2011.02.28-i állapot szerint településenkénti megbontásban</t>
  </si>
  <si>
    <t>Lakossági és vállalkozási befizetések részletezése településenként 2011.02.28-i állapot szerint</t>
  </si>
  <si>
    <t>2011.02.28-ig beérkezett bevételek megoszlása (lakosság+vállalk.)</t>
  </si>
  <si>
    <t>Gerincvezetékre jutó összeg</t>
  </si>
  <si>
    <t>Belső bekötésre</t>
  </si>
  <si>
    <t>Összesen átutalt</t>
  </si>
  <si>
    <t>* állami támogatás és kamat nélkül</t>
  </si>
  <si>
    <t>Adóhatóságnak átadott behajtások alakulása 2011. 02. 28-i állapot szerint</t>
  </si>
  <si>
    <t>Még behajtásra váró hátralék 2011.02.28-án (e-f)</t>
  </si>
  <si>
    <t>Összes működési költség</t>
  </si>
  <si>
    <t>2011.</t>
  </si>
  <si>
    <t>2012.</t>
  </si>
  <si>
    <t>2013.</t>
  </si>
  <si>
    <t>2014.</t>
  </si>
  <si>
    <t>Jogi személyek befiz.működ.költségre</t>
  </si>
  <si>
    <t>Lakossági befiz. működési költségre</t>
  </si>
  <si>
    <t>Összes bevétel működési költségre</t>
  </si>
  <si>
    <t>Bevét.levonása után fennm. Műk.ktg.</t>
  </si>
  <si>
    <t>2010.(bázisév)</t>
  </si>
  <si>
    <t>Vált. %-ban</t>
  </si>
  <si>
    <t>2011-2014</t>
  </si>
  <si>
    <t>Össz. Vált. %-ban</t>
  </si>
  <si>
    <t>100 %-ban rendezett egységek száma 2011.02.28-án</t>
  </si>
  <si>
    <t>Egységek megoszlása %-ban</t>
  </si>
  <si>
    <t>9/1. számú táblázat</t>
  </si>
  <si>
    <t>9/2. számú táblázat</t>
  </si>
  <si>
    <t>11/1. számú táblázat</t>
  </si>
  <si>
    <t>12.. számú táblázat</t>
  </si>
  <si>
    <t>11/2. számú táblázat</t>
  </si>
  <si>
    <t>2005.11.22-től 2011.02.28-ig</t>
  </si>
  <si>
    <t>2006.01.01-től 2011.02.28-ig</t>
  </si>
  <si>
    <t>Hátralékok alakulásának összehasonlítása 2010.01.31-től 2011.02.28-ig</t>
  </si>
  <si>
    <t>Bevételek 2011-2014</t>
  </si>
  <si>
    <t>Átutalt összegek megoszlása 2011.02.28.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</si>
</sst>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00"/>
    <numFmt numFmtId="166" formatCode="0.0000"/>
    <numFmt numFmtId="167" formatCode="0.0"/>
    <numFmt numFmtId="168" formatCode="#,##0_ ;\-#,##0\ "/>
    <numFmt numFmtId="169" formatCode="#,##0.0_ ;\-#,##0.0\ "/>
    <numFmt numFmtId="170" formatCode="#,##0.00_ ;\-#,##0.00\ "/>
    <numFmt numFmtId="171" formatCode="_-* #,##0.0\ _F_t_-;\-* #,##0.0\ _F_t_-;_-* &quot;-&quot;??\ _F_t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</numFmts>
  <fonts count="17">
    <font>
      <sz val="10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indent="2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10" fontId="5" fillId="0" borderId="1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0" fillId="0" borderId="1" xfId="15" applyNumberFormat="1" applyBorder="1" applyAlignment="1">
      <alignment/>
    </xf>
    <xf numFmtId="164" fontId="5" fillId="0" borderId="1" xfId="15" applyNumberFormat="1" applyFont="1" applyBorder="1" applyAlignment="1">
      <alignment/>
    </xf>
    <xf numFmtId="0" fontId="5" fillId="0" borderId="0" xfId="0" applyFont="1" applyAlignment="1">
      <alignment horizontal="center"/>
    </xf>
    <xf numFmtId="164" fontId="6" fillId="0" borderId="1" xfId="15" applyNumberFormat="1" applyFont="1" applyBorder="1" applyAlignment="1">
      <alignment horizontal="center"/>
    </xf>
    <xf numFmtId="164" fontId="5" fillId="0" borderId="1" xfId="15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15" applyNumberFormat="1" applyBorder="1" applyAlignment="1">
      <alignment horizontal="center"/>
    </xf>
    <xf numFmtId="164" fontId="0" fillId="0" borderId="1" xfId="15" applyNumberFormat="1" applyBorder="1" applyAlignment="1">
      <alignment horizontal="right"/>
    </xf>
    <xf numFmtId="10" fontId="0" fillId="0" borderId="1" xfId="0" applyNumberForma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distributed"/>
    </xf>
    <xf numFmtId="10" fontId="0" fillId="0" borderId="3" xfId="0" applyNumberFormat="1" applyBorder="1" applyAlignment="1">
      <alignment/>
    </xf>
    <xf numFmtId="164" fontId="5" fillId="0" borderId="2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0" fontId="0" fillId="0" borderId="0" xfId="0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6" fillId="0" borderId="0" xfId="15" applyNumberFormat="1" applyFont="1" applyAlignment="1">
      <alignment horizontal="centerContinuous"/>
    </xf>
    <xf numFmtId="0" fontId="8" fillId="0" borderId="1" xfId="0" applyFont="1" applyBorder="1" applyAlignment="1">
      <alignment/>
    </xf>
    <xf numFmtId="164" fontId="8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15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Border="1" applyAlignment="1">
      <alignment/>
    </xf>
    <xf numFmtId="164" fontId="6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164" fontId="9" fillId="0" borderId="1" xfId="15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164" fontId="14" fillId="0" borderId="1" xfId="15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64" fontId="7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4" fontId="11" fillId="0" borderId="1" xfId="0" applyNumberFormat="1" applyFont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/>
    </xf>
    <xf numFmtId="10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right"/>
    </xf>
    <xf numFmtId="10" fontId="11" fillId="0" borderId="1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3" fillId="0" borderId="1" xfId="0" applyFont="1" applyBorder="1" applyAlignment="1">
      <alignment horizontal="left"/>
    </xf>
    <xf numFmtId="164" fontId="10" fillId="0" borderId="1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left"/>
    </xf>
    <xf numFmtId="164" fontId="11" fillId="0" borderId="1" xfId="15" applyNumberFormat="1" applyFont="1" applyBorder="1" applyAlignment="1">
      <alignment/>
    </xf>
    <xf numFmtId="164" fontId="12" fillId="0" borderId="1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10" fontId="10" fillId="0" borderId="0" xfId="0" applyNumberFormat="1" applyFont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164" fontId="10" fillId="2" borderId="0" xfId="15" applyNumberFormat="1" applyFont="1" applyFill="1" applyBorder="1" applyAlignment="1">
      <alignment/>
    </xf>
    <xf numFmtId="10" fontId="10" fillId="2" borderId="0" xfId="15" applyNumberFormat="1" applyFont="1" applyFill="1" applyBorder="1" applyAlignment="1">
      <alignment/>
    </xf>
    <xf numFmtId="164" fontId="13" fillId="2" borderId="0" xfId="15" applyNumberFormat="1" applyFont="1" applyFill="1" applyBorder="1" applyAlignment="1">
      <alignment/>
    </xf>
    <xf numFmtId="10" fontId="0" fillId="0" borderId="2" xfId="0" applyNumberFormat="1" applyBorder="1" applyAlignment="1">
      <alignment horizontal="center"/>
    </xf>
    <xf numFmtId="0" fontId="6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distributed"/>
    </xf>
    <xf numFmtId="0" fontId="10" fillId="2" borderId="0" xfId="0" applyFont="1" applyFill="1" applyBorder="1" applyAlignment="1">
      <alignment/>
    </xf>
    <xf numFmtId="164" fontId="11" fillId="2" borderId="0" xfId="15" applyNumberFormat="1" applyFont="1" applyFill="1" applyBorder="1" applyAlignment="1">
      <alignment/>
    </xf>
    <xf numFmtId="10" fontId="11" fillId="2" borderId="0" xfId="15" applyNumberFormat="1" applyFont="1" applyFill="1" applyBorder="1" applyAlignment="1">
      <alignment/>
    </xf>
    <xf numFmtId="10" fontId="13" fillId="2" borderId="0" xfId="15" applyNumberFormat="1" applyFont="1" applyFill="1" applyBorder="1" applyAlignment="1">
      <alignment/>
    </xf>
    <xf numFmtId="164" fontId="12" fillId="2" borderId="0" xfId="15" applyNumberFormat="1" applyFont="1" applyFill="1" applyBorder="1" applyAlignment="1">
      <alignment/>
    </xf>
    <xf numFmtId="10" fontId="12" fillId="2" borderId="0" xfId="15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64" fontId="5" fillId="0" borderId="1" xfId="15" applyNumberFormat="1" applyFont="1" applyBorder="1" applyAlignment="1">
      <alignment horizontal="left"/>
    </xf>
    <xf numFmtId="173" fontId="0" fillId="0" borderId="1" xfId="17" applyNumberFormat="1" applyBorder="1" applyAlignment="1">
      <alignment/>
    </xf>
    <xf numFmtId="173" fontId="0" fillId="0" borderId="1" xfId="0" applyNumberFormat="1" applyBorder="1" applyAlignment="1">
      <alignment/>
    </xf>
    <xf numFmtId="173" fontId="5" fillId="0" borderId="1" xfId="17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8" fillId="0" borderId="1" xfId="0" applyNumberFormat="1" applyFon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164" fontId="5" fillId="0" borderId="1" xfId="15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64" fontId="5" fillId="0" borderId="1" xfId="15" applyNumberFormat="1" applyFont="1" applyFill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0" fontId="5" fillId="0" borderId="1" xfId="15" applyNumberFormat="1" applyFont="1" applyBorder="1" applyAlignment="1">
      <alignment/>
    </xf>
    <xf numFmtId="10" fontId="0" fillId="0" borderId="0" xfId="0" applyNumberFormat="1" applyAlignment="1">
      <alignment/>
    </xf>
    <xf numFmtId="10" fontId="5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3" borderId="1" xfId="15" applyNumberFormat="1" applyFont="1" applyFill="1" applyBorder="1" applyAlignment="1">
      <alignment/>
    </xf>
    <xf numFmtId="10" fontId="5" fillId="0" borderId="3" xfId="15" applyNumberFormat="1" applyFont="1" applyBorder="1" applyAlignment="1">
      <alignment/>
    </xf>
    <xf numFmtId="10" fontId="5" fillId="0" borderId="3" xfId="0" applyNumberFormat="1" applyFont="1" applyBorder="1" applyAlignment="1">
      <alignment/>
    </xf>
    <xf numFmtId="164" fontId="0" fillId="3" borderId="1" xfId="15" applyNumberForma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0" fontId="0" fillId="0" borderId="0" xfId="0" applyNumberForma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1" xfId="15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Alignment="1">
      <alignment/>
    </xf>
    <xf numFmtId="164" fontId="0" fillId="0" borderId="3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1" xfId="15" applyNumberFormat="1" applyFont="1" applyBorder="1" applyAlignment="1">
      <alignment horizontal="center"/>
    </xf>
    <xf numFmtId="10" fontId="5" fillId="0" borderId="1" xfId="15" applyNumberFormat="1" applyFont="1" applyBorder="1" applyAlignment="1">
      <alignment horizontal="center"/>
    </xf>
    <xf numFmtId="10" fontId="5" fillId="0" borderId="0" xfId="15" applyNumberFormat="1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7109375" style="0" customWidth="1"/>
    <col min="3" max="3" width="12.421875" style="0" customWidth="1"/>
    <col min="4" max="4" width="12.7109375" style="0" customWidth="1"/>
    <col min="5" max="5" width="13.00390625" style="0" customWidth="1"/>
    <col min="6" max="6" width="14.8515625" style="0" customWidth="1"/>
    <col min="7" max="7" width="11.7109375" style="0" customWidth="1"/>
  </cols>
  <sheetData>
    <row r="1" ht="12.75">
      <c r="A1" t="s">
        <v>58</v>
      </c>
    </row>
    <row r="3" spans="1:8" ht="18">
      <c r="A3" s="1" t="s">
        <v>142</v>
      </c>
      <c r="B3" s="2"/>
      <c r="C3" s="2"/>
      <c r="D3" s="2"/>
      <c r="E3" s="2"/>
      <c r="F3" s="2"/>
      <c r="G3" s="2"/>
      <c r="H3" s="2"/>
    </row>
    <row r="4" spans="1:8" ht="18">
      <c r="A4" s="3"/>
      <c r="B4" s="4"/>
      <c r="C4" s="4"/>
      <c r="D4" s="4"/>
      <c r="E4" s="4"/>
      <c r="F4" s="4"/>
      <c r="G4" s="4"/>
      <c r="H4" s="4"/>
    </row>
    <row r="5" spans="1:8" ht="18">
      <c r="A5" s="3"/>
      <c r="B5" s="4"/>
      <c r="C5" s="4"/>
      <c r="D5" s="4"/>
      <c r="E5" s="4"/>
      <c r="F5" s="4"/>
      <c r="G5" s="4"/>
      <c r="H5" s="4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</row>
    <row r="8" spans="1:8" ht="12.75">
      <c r="A8" s="9" t="s">
        <v>8</v>
      </c>
      <c r="B8" s="10">
        <v>6761</v>
      </c>
      <c r="C8" s="11">
        <v>1228</v>
      </c>
      <c r="D8" s="10">
        <v>1237</v>
      </c>
      <c r="E8" s="10">
        <v>1351</v>
      </c>
      <c r="F8" s="10">
        <v>416</v>
      </c>
      <c r="G8" s="10">
        <v>717</v>
      </c>
      <c r="H8" s="12">
        <f>SUM(B8:G8)</f>
        <v>11710</v>
      </c>
    </row>
    <row r="9" spans="1:8" ht="12.75">
      <c r="A9" s="9" t="s">
        <v>9</v>
      </c>
      <c r="B9" s="10">
        <v>88</v>
      </c>
      <c r="C9" s="11">
        <v>11</v>
      </c>
      <c r="D9" s="10">
        <v>4</v>
      </c>
      <c r="E9" s="10">
        <v>9</v>
      </c>
      <c r="F9" s="10">
        <v>6</v>
      </c>
      <c r="G9" s="10">
        <v>2</v>
      </c>
      <c r="H9" s="12">
        <f>SUM(B9:G9)</f>
        <v>120</v>
      </c>
    </row>
    <row r="10" spans="1:8" ht="12.75">
      <c r="A10" s="13" t="s">
        <v>10</v>
      </c>
      <c r="B10" s="12">
        <f>SUM(B8:B9)</f>
        <v>6849</v>
      </c>
      <c r="C10" s="12">
        <f aca="true" t="shared" si="0" ref="C10:H10">SUM(C8:C9)</f>
        <v>1239</v>
      </c>
      <c r="D10" s="12">
        <f t="shared" si="0"/>
        <v>1241</v>
      </c>
      <c r="E10" s="12">
        <f t="shared" si="0"/>
        <v>1360</v>
      </c>
      <c r="F10" s="12">
        <f t="shared" si="0"/>
        <v>422</v>
      </c>
      <c r="G10" s="12">
        <f t="shared" si="0"/>
        <v>719</v>
      </c>
      <c r="H10" s="12">
        <f t="shared" si="0"/>
        <v>11830</v>
      </c>
    </row>
    <row r="11" spans="1:8" ht="12.75">
      <c r="A11" s="9" t="s">
        <v>32</v>
      </c>
      <c r="B11" s="10">
        <v>995</v>
      </c>
      <c r="C11" s="11">
        <v>212</v>
      </c>
      <c r="D11" s="10">
        <v>132</v>
      </c>
      <c r="E11" s="10">
        <v>237</v>
      </c>
      <c r="F11" s="10">
        <v>202</v>
      </c>
      <c r="G11" s="10">
        <v>227</v>
      </c>
      <c r="H11" s="12">
        <f>SUM(B11:G11)</f>
        <v>2005</v>
      </c>
    </row>
    <row r="12" spans="1:8" ht="12.75">
      <c r="A12" s="13" t="s">
        <v>11</v>
      </c>
      <c r="B12" s="12">
        <f aca="true" t="shared" si="1" ref="B12:H12">SUM(B10:B11)</f>
        <v>7844</v>
      </c>
      <c r="C12" s="12">
        <f t="shared" si="1"/>
        <v>1451</v>
      </c>
      <c r="D12" s="12">
        <f t="shared" si="1"/>
        <v>1373</v>
      </c>
      <c r="E12" s="12">
        <f t="shared" si="1"/>
        <v>1597</v>
      </c>
      <c r="F12" s="12">
        <f t="shared" si="1"/>
        <v>624</v>
      </c>
      <c r="G12" s="12">
        <f t="shared" si="1"/>
        <v>946</v>
      </c>
      <c r="H12" s="12">
        <f t="shared" si="1"/>
        <v>13835</v>
      </c>
    </row>
    <row r="13" spans="1:8" ht="12.75">
      <c r="A13" s="9" t="s">
        <v>12</v>
      </c>
      <c r="B13" s="14">
        <f>SUM(B10/B12)</f>
        <v>0.8731514533401326</v>
      </c>
      <c r="C13" s="14">
        <f aca="true" t="shared" si="2" ref="C13:H13">SUM(C10/C12)</f>
        <v>0.853893866299104</v>
      </c>
      <c r="D13" s="14">
        <f t="shared" si="2"/>
        <v>0.9038601602330663</v>
      </c>
      <c r="E13" s="14">
        <f t="shared" si="2"/>
        <v>0.8515967438948028</v>
      </c>
      <c r="F13" s="14">
        <f t="shared" si="2"/>
        <v>0.6762820512820513</v>
      </c>
      <c r="G13" s="14">
        <f t="shared" si="2"/>
        <v>0.7600422832980972</v>
      </c>
      <c r="H13" s="14">
        <f t="shared" si="2"/>
        <v>0.8550777014817492</v>
      </c>
    </row>
    <row r="16" spans="1:8" ht="12.75">
      <c r="A16" s="7" t="s">
        <v>13</v>
      </c>
      <c r="B16" s="7" t="s">
        <v>1</v>
      </c>
      <c r="C16" s="7" t="s">
        <v>2</v>
      </c>
      <c r="D16" s="7" t="s">
        <v>3</v>
      </c>
      <c r="E16" s="7" t="s">
        <v>4</v>
      </c>
      <c r="F16" s="7" t="s">
        <v>5</v>
      </c>
      <c r="G16" s="7" t="s">
        <v>6</v>
      </c>
      <c r="H16" s="7" t="s">
        <v>7</v>
      </c>
    </row>
    <row r="17" spans="1:8" ht="12.75">
      <c r="A17" s="9" t="s">
        <v>14</v>
      </c>
      <c r="B17" s="9">
        <v>178</v>
      </c>
      <c r="C17" s="9">
        <v>41</v>
      </c>
      <c r="D17" s="9">
        <v>30</v>
      </c>
      <c r="E17" s="9">
        <v>24</v>
      </c>
      <c r="F17" s="9">
        <v>17</v>
      </c>
      <c r="G17" s="9">
        <v>21</v>
      </c>
      <c r="H17" s="9">
        <f>SUM(B17:G17)</f>
        <v>311</v>
      </c>
    </row>
    <row r="18" spans="1:8" ht="12.75">
      <c r="A18" s="9" t="s">
        <v>15</v>
      </c>
      <c r="B18" s="9">
        <v>279</v>
      </c>
      <c r="C18" s="9">
        <v>41</v>
      </c>
      <c r="D18" s="9">
        <v>39</v>
      </c>
      <c r="E18" s="9">
        <v>47</v>
      </c>
      <c r="F18" s="9">
        <v>18</v>
      </c>
      <c r="G18" s="9">
        <v>22</v>
      </c>
      <c r="H18" s="9">
        <f>SUM(B18:G18)</f>
        <v>446</v>
      </c>
    </row>
    <row r="19" spans="1:5" ht="12.75">
      <c r="A19" s="15"/>
      <c r="B19" s="15"/>
      <c r="C19" s="15"/>
      <c r="D19" s="15"/>
      <c r="E19" s="16"/>
    </row>
    <row r="20" spans="1:8" s="76" customFormat="1" ht="12.75">
      <c r="A20" s="79" t="s">
        <v>76</v>
      </c>
      <c r="B20" s="52">
        <f aca="true" t="shared" si="3" ref="B20:G20">SUM(B12+B18)</f>
        <v>8123</v>
      </c>
      <c r="C20" s="52">
        <f t="shared" si="3"/>
        <v>1492</v>
      </c>
      <c r="D20" s="52">
        <f t="shared" si="3"/>
        <v>1412</v>
      </c>
      <c r="E20" s="52">
        <f t="shared" si="3"/>
        <v>1644</v>
      </c>
      <c r="F20" s="52">
        <f t="shared" si="3"/>
        <v>642</v>
      </c>
      <c r="G20" s="52">
        <f t="shared" si="3"/>
        <v>968</v>
      </c>
      <c r="H20" s="52">
        <f>SUM(B20:G20)</f>
        <v>14281</v>
      </c>
    </row>
    <row r="21" spans="1:8" ht="12.75">
      <c r="A21" s="15"/>
      <c r="B21" s="15"/>
      <c r="C21" s="15"/>
      <c r="D21" s="15"/>
      <c r="E21" s="15"/>
      <c r="F21" s="15"/>
      <c r="G21" s="15"/>
      <c r="H21" s="15"/>
    </row>
    <row r="22" spans="1:8" ht="12.75">
      <c r="A22" s="15"/>
      <c r="B22" s="15"/>
      <c r="C22" s="15"/>
      <c r="D22" s="15"/>
      <c r="E22" s="15"/>
      <c r="F22" s="15"/>
      <c r="G22" s="15"/>
      <c r="H22" s="15"/>
    </row>
    <row r="23" spans="1:8" ht="12.75">
      <c r="A23" s="26" t="s">
        <v>185</v>
      </c>
      <c r="B23" s="23">
        <v>0.5687</v>
      </c>
      <c r="C23" s="23">
        <f>SUM(C20/H20)</f>
        <v>0.1044744765772705</v>
      </c>
      <c r="D23" s="23">
        <f>SUM(D20/H20)</f>
        <v>0.09887262796722919</v>
      </c>
      <c r="E23" s="23">
        <f>SUM(E20/H20)</f>
        <v>0.11511798893634899</v>
      </c>
      <c r="F23" s="23">
        <f>SUM(F20/H20)</f>
        <v>0.04495483509558154</v>
      </c>
      <c r="G23" s="23">
        <f>SUM(G20/H20)</f>
        <v>0.0677823681814999</v>
      </c>
      <c r="H23" s="23">
        <v>1</v>
      </c>
    </row>
    <row r="24" spans="1:8" ht="18">
      <c r="A24" s="60"/>
      <c r="B24" s="60"/>
      <c r="C24" s="61"/>
      <c r="D24" s="61"/>
      <c r="E24" s="61"/>
      <c r="F24" s="61"/>
      <c r="G24" s="61"/>
      <c r="H24" s="61"/>
    </row>
    <row r="25" spans="1:8" ht="18">
      <c r="A25" s="60"/>
      <c r="B25" s="60"/>
      <c r="C25" s="61"/>
      <c r="D25" s="61"/>
      <c r="E25" s="61"/>
      <c r="F25" s="61"/>
      <c r="G25" s="61"/>
      <c r="H25" s="61"/>
    </row>
    <row r="26" spans="1:8" ht="18">
      <c r="A26" s="60"/>
      <c r="B26" s="60"/>
      <c r="C26" s="61"/>
      <c r="D26" s="61"/>
      <c r="E26" s="61"/>
      <c r="F26" s="61"/>
      <c r="G26" s="61"/>
      <c r="H26" s="61"/>
    </row>
    <row r="27" spans="1:8" ht="12.75">
      <c r="A27" s="15"/>
      <c r="B27" s="15"/>
      <c r="C27" s="15"/>
      <c r="D27" s="15"/>
      <c r="E27" s="15"/>
      <c r="F27" s="15"/>
      <c r="G27" s="15"/>
      <c r="H27" s="15"/>
    </row>
    <row r="28" spans="1:8" ht="12.75">
      <c r="A28" s="15"/>
      <c r="B28" s="15"/>
      <c r="C28" s="15"/>
      <c r="D28" s="15"/>
      <c r="E28" s="15"/>
      <c r="F28" s="15"/>
      <c r="G28" s="15"/>
      <c r="H28" s="15"/>
    </row>
    <row r="29" spans="1:8" ht="12.75">
      <c r="A29" s="62"/>
      <c r="B29" s="63"/>
      <c r="C29" s="63"/>
      <c r="D29" s="63"/>
      <c r="E29" s="63"/>
      <c r="F29" s="63"/>
      <c r="G29" s="63"/>
      <c r="H29" s="64"/>
    </row>
    <row r="30" spans="1:8" ht="12.75">
      <c r="A30" s="15"/>
      <c r="B30" s="65"/>
      <c r="C30" s="66"/>
      <c r="D30" s="65"/>
      <c r="E30" s="65"/>
      <c r="F30" s="65"/>
      <c r="G30" s="65"/>
      <c r="H30" s="67"/>
    </row>
    <row r="31" spans="1:8" ht="12.75">
      <c r="A31" s="15"/>
      <c r="B31" s="65"/>
      <c r="C31" s="66"/>
      <c r="D31" s="65"/>
      <c r="E31" s="65"/>
      <c r="F31" s="65"/>
      <c r="G31" s="65"/>
      <c r="H31" s="67"/>
    </row>
    <row r="32" spans="1:8" ht="12.75">
      <c r="A32" s="68"/>
      <c r="B32" s="67"/>
      <c r="C32" s="67"/>
      <c r="D32" s="67"/>
      <c r="E32" s="67"/>
      <c r="F32" s="67"/>
      <c r="G32" s="67"/>
      <c r="H32" s="67"/>
    </row>
    <row r="33" spans="1:8" ht="12.75">
      <c r="A33" s="69"/>
      <c r="B33" s="48"/>
      <c r="C33" s="48"/>
      <c r="D33" s="48"/>
      <c r="E33" s="48"/>
      <c r="F33" s="48"/>
      <c r="G33" s="48"/>
      <c r="H33" s="48"/>
    </row>
    <row r="34" spans="1:8" ht="12.75">
      <c r="A34" s="69"/>
      <c r="B34" s="15"/>
      <c r="C34" s="15"/>
      <c r="D34" s="15"/>
      <c r="E34" s="15"/>
      <c r="F34" s="15"/>
      <c r="G34" s="15"/>
      <c r="H34" s="15"/>
    </row>
    <row r="35" spans="1:8" ht="12.75">
      <c r="A35" s="70"/>
      <c r="B35" s="71"/>
      <c r="C35" s="71"/>
      <c r="D35" s="71"/>
      <c r="E35" s="71"/>
      <c r="F35" s="71"/>
      <c r="G35" s="71"/>
      <c r="H35" s="71"/>
    </row>
    <row r="36" spans="1:8" ht="12.75">
      <c r="A36" s="15"/>
      <c r="B36" s="15"/>
      <c r="C36" s="15"/>
      <c r="D36" s="15"/>
      <c r="E36" s="15"/>
      <c r="F36" s="15"/>
      <c r="G36" s="15"/>
      <c r="H36" s="15"/>
    </row>
    <row r="37" spans="1:8" ht="12.75">
      <c r="A37" s="15"/>
      <c r="B37" s="15"/>
      <c r="C37" s="15"/>
      <c r="D37" s="15"/>
      <c r="E37" s="15"/>
      <c r="F37" s="15"/>
      <c r="G37" s="15"/>
      <c r="H37" s="15"/>
    </row>
    <row r="38" spans="1:8" ht="12.75">
      <c r="A38" s="15"/>
      <c r="B38" s="15"/>
      <c r="C38" s="15"/>
      <c r="D38" s="15"/>
      <c r="E38" s="15"/>
      <c r="F38" s="15"/>
      <c r="G38" s="15"/>
      <c r="H38" s="15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22.57421875" style="0" customWidth="1"/>
    <col min="3" max="5" width="10.421875" style="122" customWidth="1"/>
    <col min="6" max="8" width="10.421875" style="0" customWidth="1"/>
    <col min="9" max="9" width="10.140625" style="0" customWidth="1"/>
    <col min="10" max="10" width="10.57421875" style="84" customWidth="1"/>
    <col min="11" max="12" width="9.8515625" style="0" customWidth="1"/>
    <col min="13" max="13" width="10.00390625" style="0" customWidth="1"/>
    <col min="14" max="19" width="10.140625" style="0" bestFit="1" customWidth="1"/>
  </cols>
  <sheetData>
    <row r="1" ht="12.75">
      <c r="A1" t="s">
        <v>85</v>
      </c>
    </row>
    <row r="3" spans="1:19" ht="15.75">
      <c r="A3" s="24" t="s">
        <v>193</v>
      </c>
      <c r="B3" s="24"/>
      <c r="C3" s="125"/>
      <c r="D3" s="125"/>
      <c r="E3" s="125"/>
      <c r="F3" s="24"/>
      <c r="G3" s="24"/>
      <c r="H3" s="24"/>
      <c r="I3" s="24"/>
      <c r="J3" s="24"/>
      <c r="K3" s="24"/>
      <c r="L3" s="24"/>
      <c r="M3" s="24"/>
      <c r="N3" s="18"/>
      <c r="O3" s="18"/>
      <c r="P3" s="18"/>
      <c r="Q3" s="18"/>
      <c r="R3" s="18"/>
      <c r="S3" s="18"/>
    </row>
    <row r="4" spans="1:19" ht="15.75">
      <c r="A4" s="24"/>
      <c r="B4" s="24"/>
      <c r="C4" s="82"/>
      <c r="D4" s="82"/>
      <c r="E4" s="82"/>
      <c r="F4" s="24"/>
      <c r="G4" s="24"/>
      <c r="H4" s="24"/>
      <c r="I4" s="24"/>
      <c r="J4" s="24"/>
      <c r="K4" s="24"/>
      <c r="L4" s="24"/>
      <c r="M4" s="24"/>
      <c r="N4" s="18"/>
      <c r="O4" s="18"/>
      <c r="P4" s="18"/>
      <c r="Q4" s="18"/>
      <c r="R4" s="18"/>
      <c r="S4" s="18"/>
    </row>
    <row r="6" spans="3:19" ht="12.75">
      <c r="C6" s="206" t="s">
        <v>84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8"/>
      <c r="Q6" s="205"/>
      <c r="R6" s="205"/>
      <c r="S6" s="205"/>
    </row>
    <row r="7" spans="1:19" ht="12.75">
      <c r="A7" s="91" t="s">
        <v>21</v>
      </c>
      <c r="B7" s="92" t="s">
        <v>25</v>
      </c>
      <c r="C7" s="100">
        <v>40602</v>
      </c>
      <c r="D7" s="100">
        <v>40574</v>
      </c>
      <c r="E7" s="123">
        <v>40543</v>
      </c>
      <c r="F7" s="100">
        <v>40512</v>
      </c>
      <c r="G7" s="100">
        <v>40482</v>
      </c>
      <c r="H7" s="100">
        <v>40451</v>
      </c>
      <c r="I7" s="100">
        <v>40421</v>
      </c>
      <c r="J7" s="101">
        <v>40390</v>
      </c>
      <c r="K7" s="101">
        <v>40359</v>
      </c>
      <c r="L7" s="101">
        <v>40329</v>
      </c>
      <c r="M7" s="101">
        <v>40298</v>
      </c>
      <c r="N7" s="101">
        <v>40268</v>
      </c>
      <c r="O7" s="101">
        <v>40237</v>
      </c>
      <c r="P7" s="100">
        <v>40209</v>
      </c>
      <c r="Q7" s="203"/>
      <c r="R7" s="203"/>
      <c r="S7" s="203"/>
    </row>
    <row r="8" spans="1:19" ht="12.75">
      <c r="A8" s="91" t="s">
        <v>1</v>
      </c>
      <c r="B8" s="93" t="s">
        <v>30</v>
      </c>
      <c r="C8" s="124">
        <v>0.0302</v>
      </c>
      <c r="D8" s="124">
        <v>0.0318</v>
      </c>
      <c r="E8" s="124">
        <v>0.032</v>
      </c>
      <c r="F8" s="102">
        <v>0.0344</v>
      </c>
      <c r="G8" s="102">
        <v>0.0342</v>
      </c>
      <c r="H8" s="102">
        <v>0.0336</v>
      </c>
      <c r="I8" s="102">
        <v>0.0348</v>
      </c>
      <c r="J8" s="102">
        <v>0.0333</v>
      </c>
      <c r="K8" s="102">
        <v>0.0329</v>
      </c>
      <c r="L8" s="102">
        <v>0.0337</v>
      </c>
      <c r="M8" s="103">
        <v>0.0315</v>
      </c>
      <c r="N8" s="104">
        <v>0.0314</v>
      </c>
      <c r="O8" s="104">
        <v>0.0333</v>
      </c>
      <c r="P8" s="104">
        <v>0.0307</v>
      </c>
      <c r="Q8" s="110"/>
      <c r="R8" s="110"/>
      <c r="S8" s="110"/>
    </row>
    <row r="9" spans="1:19" ht="12.75">
      <c r="A9" s="94"/>
      <c r="B9" s="93" t="s">
        <v>31</v>
      </c>
      <c r="C9" s="124">
        <v>0.1173</v>
      </c>
      <c r="D9" s="124">
        <v>0.1205</v>
      </c>
      <c r="E9" s="124">
        <v>0.1169</v>
      </c>
      <c r="F9" s="102">
        <v>0.117</v>
      </c>
      <c r="G9" s="102">
        <v>0.117</v>
      </c>
      <c r="H9" s="102">
        <v>0.1214</v>
      </c>
      <c r="I9" s="102">
        <v>0.1229</v>
      </c>
      <c r="J9" s="102">
        <v>0.1216</v>
      </c>
      <c r="K9" s="102">
        <v>0.1192</v>
      </c>
      <c r="L9" s="102">
        <v>0.1234</v>
      </c>
      <c r="M9" s="103">
        <v>0.1203</v>
      </c>
      <c r="N9" s="104">
        <v>0.1206</v>
      </c>
      <c r="O9" s="104">
        <v>0.1185</v>
      </c>
      <c r="P9" s="104">
        <v>0.1147</v>
      </c>
      <c r="Q9" s="110"/>
      <c r="R9" s="110"/>
      <c r="S9" s="110"/>
    </row>
    <row r="10" spans="1:19" ht="12.75">
      <c r="A10" s="95"/>
      <c r="B10" s="93" t="s">
        <v>32</v>
      </c>
      <c r="C10" s="124">
        <v>0.3353</v>
      </c>
      <c r="D10" s="124">
        <v>0.3409</v>
      </c>
      <c r="E10" s="124">
        <v>0.3457</v>
      </c>
      <c r="F10" s="102">
        <v>0.3609</v>
      </c>
      <c r="G10" s="102">
        <v>0.3675</v>
      </c>
      <c r="H10" s="102">
        <v>0.3617</v>
      </c>
      <c r="I10" s="102">
        <v>0.3698</v>
      </c>
      <c r="J10" s="102">
        <v>0.3748</v>
      </c>
      <c r="K10" s="102">
        <v>0.3776</v>
      </c>
      <c r="L10" s="102">
        <v>0.3881</v>
      </c>
      <c r="M10" s="103" t="s">
        <v>78</v>
      </c>
      <c r="N10" s="104">
        <v>0.3897</v>
      </c>
      <c r="O10" s="104">
        <v>0.3932</v>
      </c>
      <c r="P10" s="104">
        <v>0.399</v>
      </c>
      <c r="Q10" s="110"/>
      <c r="R10" s="110"/>
      <c r="S10" s="110"/>
    </row>
    <row r="11" spans="1:19" ht="12.75">
      <c r="A11" s="95"/>
      <c r="B11" s="93" t="s">
        <v>33</v>
      </c>
      <c r="C11" s="124">
        <v>0.0487</v>
      </c>
      <c r="D11" s="124">
        <v>0.0527</v>
      </c>
      <c r="E11" s="124">
        <v>0.046</v>
      </c>
      <c r="F11" s="102">
        <v>0.0559</v>
      </c>
      <c r="G11" s="102">
        <v>0.0559</v>
      </c>
      <c r="H11" s="102">
        <v>0.0559</v>
      </c>
      <c r="I11" s="102">
        <v>0.0422</v>
      </c>
      <c r="J11" s="102">
        <v>0.0422</v>
      </c>
      <c r="K11" s="102">
        <v>0.0428</v>
      </c>
      <c r="L11" s="102">
        <v>0.0463</v>
      </c>
      <c r="M11" s="103">
        <v>0.0463</v>
      </c>
      <c r="N11" s="104">
        <v>0.0463</v>
      </c>
      <c r="O11" s="104">
        <v>0.0517</v>
      </c>
      <c r="P11" s="104">
        <v>0.0517</v>
      </c>
      <c r="Q11" s="110"/>
      <c r="R11" s="110"/>
      <c r="S11" s="110"/>
    </row>
    <row r="12" spans="1:19" s="38" customFormat="1" ht="12.75">
      <c r="A12" s="96"/>
      <c r="B12" s="97" t="s">
        <v>34</v>
      </c>
      <c r="C12" s="105">
        <v>0.0683</v>
      </c>
      <c r="D12" s="105">
        <v>0.0708</v>
      </c>
      <c r="E12" s="105">
        <v>0.0718</v>
      </c>
      <c r="F12" s="105">
        <v>0.0765</v>
      </c>
      <c r="G12" s="105">
        <v>0.0778</v>
      </c>
      <c r="H12" s="105">
        <v>0.0771</v>
      </c>
      <c r="I12" s="105">
        <v>0.079</v>
      </c>
      <c r="J12" s="105">
        <v>0.0789</v>
      </c>
      <c r="K12" s="105">
        <v>0.0795</v>
      </c>
      <c r="L12" s="105">
        <v>0.0823</v>
      </c>
      <c r="M12" s="106">
        <v>0.0792</v>
      </c>
      <c r="N12" s="107">
        <v>0.0815</v>
      </c>
      <c r="O12" s="107">
        <v>0.0842</v>
      </c>
      <c r="P12" s="107">
        <v>0.0836</v>
      </c>
      <c r="Q12" s="204"/>
      <c r="R12" s="204"/>
      <c r="S12" s="204"/>
    </row>
    <row r="13" spans="1:19" ht="12.75">
      <c r="A13" s="98"/>
      <c r="B13" s="99"/>
      <c r="C13" s="126"/>
      <c r="D13" s="126"/>
      <c r="E13" s="124"/>
      <c r="F13" s="108"/>
      <c r="G13" s="108"/>
      <c r="H13" s="108"/>
      <c r="I13" s="108"/>
      <c r="J13" s="108"/>
      <c r="K13" s="108"/>
      <c r="L13" s="108"/>
      <c r="M13" s="109"/>
      <c r="N13" s="110"/>
      <c r="O13" s="110"/>
      <c r="P13" s="110"/>
      <c r="Q13" s="110"/>
      <c r="R13" s="110"/>
      <c r="S13" s="110"/>
    </row>
    <row r="14" spans="1:19" ht="12.75">
      <c r="A14" s="92" t="s">
        <v>2</v>
      </c>
      <c r="B14" s="93" t="s">
        <v>30</v>
      </c>
      <c r="C14" s="124">
        <v>0.0381</v>
      </c>
      <c r="D14" s="124">
        <v>0.0395</v>
      </c>
      <c r="E14" s="124">
        <v>0.0373</v>
      </c>
      <c r="F14" s="102">
        <v>0.0405</v>
      </c>
      <c r="G14" s="102">
        <v>0.0409</v>
      </c>
      <c r="H14" s="102">
        <v>0.0393</v>
      </c>
      <c r="I14" s="102">
        <v>0.0406</v>
      </c>
      <c r="J14" s="102">
        <v>0.04</v>
      </c>
      <c r="K14" s="102">
        <v>0.0394</v>
      </c>
      <c r="L14" s="102">
        <v>0.0412</v>
      </c>
      <c r="M14" s="103">
        <v>0.0413</v>
      </c>
      <c r="N14" s="104">
        <v>0.0399</v>
      </c>
      <c r="O14" s="104">
        <v>0.0389</v>
      </c>
      <c r="P14" s="104">
        <v>0.0387</v>
      </c>
      <c r="Q14" s="110"/>
      <c r="R14" s="110"/>
      <c r="S14" s="110"/>
    </row>
    <row r="15" spans="1:19" ht="12.75">
      <c r="A15" s="98"/>
      <c r="B15" s="93" t="s">
        <v>31</v>
      </c>
      <c r="C15" s="124">
        <v>0.093</v>
      </c>
      <c r="D15" s="124">
        <v>0.0902</v>
      </c>
      <c r="E15" s="124">
        <v>0.087</v>
      </c>
      <c r="F15" s="102">
        <v>0.0836</v>
      </c>
      <c r="G15" s="102">
        <v>0.0802</v>
      </c>
      <c r="H15" s="102">
        <v>0.0874</v>
      </c>
      <c r="I15" s="102">
        <v>0.0838</v>
      </c>
      <c r="J15" s="102">
        <v>0.0799</v>
      </c>
      <c r="K15" s="102">
        <v>0.0835</v>
      </c>
      <c r="L15" s="102">
        <v>0.0831</v>
      </c>
      <c r="M15" s="103">
        <v>0.0753</v>
      </c>
      <c r="N15" s="104">
        <v>0.0747</v>
      </c>
      <c r="O15" s="104">
        <v>0.0686</v>
      </c>
      <c r="P15" s="104">
        <v>0.0663</v>
      </c>
      <c r="Q15" s="110"/>
      <c r="R15" s="110"/>
      <c r="S15" s="110"/>
    </row>
    <row r="16" spans="1:19" ht="12.75">
      <c r="A16" s="98"/>
      <c r="B16" s="93" t="s">
        <v>32</v>
      </c>
      <c r="C16" s="124">
        <v>0.5484</v>
      </c>
      <c r="D16" s="124">
        <v>0.5521</v>
      </c>
      <c r="E16" s="124">
        <v>0.5561</v>
      </c>
      <c r="F16" s="102">
        <v>0.5623</v>
      </c>
      <c r="G16" s="102">
        <v>0.5692</v>
      </c>
      <c r="H16" s="102">
        <v>0.5713</v>
      </c>
      <c r="I16" s="102">
        <v>0.5774</v>
      </c>
      <c r="J16" s="102">
        <v>0.5844</v>
      </c>
      <c r="K16" s="102">
        <v>0.5899</v>
      </c>
      <c r="L16" s="102">
        <v>0.5939</v>
      </c>
      <c r="M16" s="103">
        <v>0.5946</v>
      </c>
      <c r="N16" s="104">
        <v>0.6</v>
      </c>
      <c r="O16" s="104">
        <v>0.6069</v>
      </c>
      <c r="P16" s="104">
        <v>0.6185</v>
      </c>
      <c r="Q16" s="110"/>
      <c r="R16" s="110"/>
      <c r="S16" s="110"/>
    </row>
    <row r="17" spans="1:19" ht="12.75">
      <c r="A17" s="98"/>
      <c r="B17" s="93" t="s">
        <v>33</v>
      </c>
      <c r="C17" s="124">
        <v>0.0739</v>
      </c>
      <c r="D17" s="124">
        <v>0.0739</v>
      </c>
      <c r="E17" s="124">
        <v>0.0739</v>
      </c>
      <c r="F17" s="102">
        <v>0.0739</v>
      </c>
      <c r="G17" s="102">
        <v>0.0739</v>
      </c>
      <c r="H17" s="102">
        <v>0.0739</v>
      </c>
      <c r="I17" s="102">
        <v>0.0739</v>
      </c>
      <c r="J17" s="102">
        <v>0.0739</v>
      </c>
      <c r="K17" s="102">
        <v>0.0739</v>
      </c>
      <c r="L17" s="102">
        <v>0.0739</v>
      </c>
      <c r="M17" s="103">
        <v>0.0739</v>
      </c>
      <c r="N17" s="104">
        <v>0.0739</v>
      </c>
      <c r="O17" s="104">
        <v>0.0739</v>
      </c>
      <c r="P17" s="104">
        <v>0.0739</v>
      </c>
      <c r="Q17" s="110"/>
      <c r="R17" s="110"/>
      <c r="S17" s="110"/>
    </row>
    <row r="18" spans="1:19" s="38" customFormat="1" ht="12.75">
      <c r="A18" s="98"/>
      <c r="B18" s="97" t="s">
        <v>34</v>
      </c>
      <c r="C18" s="127">
        <v>0.119</v>
      </c>
      <c r="D18" s="127">
        <v>0.1213</v>
      </c>
      <c r="E18" s="105">
        <v>0.1212</v>
      </c>
      <c r="F18" s="105">
        <v>0.126</v>
      </c>
      <c r="G18" s="105">
        <v>0.1286</v>
      </c>
      <c r="H18" s="105">
        <v>0.1282</v>
      </c>
      <c r="I18" s="105">
        <v>0.1307</v>
      </c>
      <c r="J18" s="105">
        <v>0.1319</v>
      </c>
      <c r="K18" s="105">
        <v>0.1333</v>
      </c>
      <c r="L18" s="105">
        <v>0.1368</v>
      </c>
      <c r="M18" s="106">
        <v>0.138</v>
      </c>
      <c r="N18" s="107">
        <v>0.1394</v>
      </c>
      <c r="O18" s="107">
        <v>0.1404</v>
      </c>
      <c r="P18" s="107">
        <v>0.1439</v>
      </c>
      <c r="Q18" s="204"/>
      <c r="R18" s="204"/>
      <c r="S18" s="204"/>
    </row>
    <row r="19" spans="1:19" ht="12.75">
      <c r="A19" s="98"/>
      <c r="B19" s="99"/>
      <c r="C19" s="126"/>
      <c r="D19" s="126"/>
      <c r="E19" s="124"/>
      <c r="F19" s="108"/>
      <c r="G19" s="108"/>
      <c r="H19" s="108"/>
      <c r="I19" s="108"/>
      <c r="J19" s="108"/>
      <c r="K19" s="108"/>
      <c r="L19" s="108"/>
      <c r="M19" s="109"/>
      <c r="N19" s="110"/>
      <c r="O19" s="110"/>
      <c r="P19" s="110"/>
      <c r="Q19" s="110"/>
      <c r="R19" s="110"/>
      <c r="S19" s="110"/>
    </row>
    <row r="20" spans="1:19" ht="12.75">
      <c r="A20" s="92" t="s">
        <v>3</v>
      </c>
      <c r="B20" s="93" t="s">
        <v>30</v>
      </c>
      <c r="C20" s="124">
        <v>0.0335</v>
      </c>
      <c r="D20" s="124">
        <v>0.0344</v>
      </c>
      <c r="E20" s="124">
        <v>0.0338</v>
      </c>
      <c r="F20" s="102">
        <v>0.036</v>
      </c>
      <c r="G20" s="102">
        <v>0.035</v>
      </c>
      <c r="H20" s="102">
        <v>0.0347</v>
      </c>
      <c r="I20" s="102">
        <v>0.0371</v>
      </c>
      <c r="J20" s="102">
        <v>0.0378</v>
      </c>
      <c r="K20" s="102">
        <v>0.0365</v>
      </c>
      <c r="L20" s="102">
        <v>0.0382</v>
      </c>
      <c r="M20" s="103">
        <v>0.0367</v>
      </c>
      <c r="N20" s="104">
        <v>0.0354</v>
      </c>
      <c r="O20" s="104">
        <v>0.0355</v>
      </c>
      <c r="P20" s="104">
        <v>0.0338</v>
      </c>
      <c r="Q20" s="110"/>
      <c r="R20" s="110"/>
      <c r="S20" s="110"/>
    </row>
    <row r="21" spans="1:19" ht="12.75">
      <c r="A21" s="98"/>
      <c r="B21" s="93" t="s">
        <v>31</v>
      </c>
      <c r="C21" s="124">
        <v>0.307</v>
      </c>
      <c r="D21" s="124">
        <v>0.3035</v>
      </c>
      <c r="E21" s="124">
        <v>0.305</v>
      </c>
      <c r="F21" s="102">
        <v>0.3012</v>
      </c>
      <c r="G21" s="102">
        <v>0.2973</v>
      </c>
      <c r="H21" s="102">
        <v>0.288</v>
      </c>
      <c r="I21" s="102">
        <v>0.2837</v>
      </c>
      <c r="J21" s="102">
        <v>0.2792</v>
      </c>
      <c r="K21" s="102">
        <v>0.2744</v>
      </c>
      <c r="L21" s="102">
        <v>0.2694</v>
      </c>
      <c r="M21" s="103">
        <v>0.2581</v>
      </c>
      <c r="N21" s="104">
        <v>0.2588</v>
      </c>
      <c r="O21" s="104">
        <v>0.2466</v>
      </c>
      <c r="P21" s="104">
        <v>0.2467</v>
      </c>
      <c r="Q21" s="110"/>
      <c r="R21" s="110"/>
      <c r="S21" s="110"/>
    </row>
    <row r="22" spans="1:19" ht="12.75">
      <c r="A22" s="98"/>
      <c r="B22" s="93" t="s">
        <v>32</v>
      </c>
      <c r="C22" s="124">
        <v>0.4175</v>
      </c>
      <c r="D22" s="124">
        <v>0.4208</v>
      </c>
      <c r="E22" s="124">
        <v>0.4264</v>
      </c>
      <c r="F22" s="102">
        <v>0.4579</v>
      </c>
      <c r="G22" s="102">
        <v>0.4676</v>
      </c>
      <c r="H22" s="102">
        <v>0.5013</v>
      </c>
      <c r="I22" s="102">
        <v>0.49</v>
      </c>
      <c r="J22" s="102">
        <v>0.4921</v>
      </c>
      <c r="K22" s="102">
        <v>0.485</v>
      </c>
      <c r="L22" s="102">
        <v>0.5028</v>
      </c>
      <c r="M22" s="103">
        <v>0.5005</v>
      </c>
      <c r="N22" s="104">
        <v>0.5172</v>
      </c>
      <c r="O22" s="104">
        <v>0.524</v>
      </c>
      <c r="P22" s="104">
        <v>0.5241</v>
      </c>
      <c r="Q22" s="110"/>
      <c r="R22" s="110"/>
      <c r="S22" s="110"/>
    </row>
    <row r="23" spans="1:19" ht="12.75">
      <c r="A23" s="98"/>
      <c r="B23" s="93" t="s">
        <v>33</v>
      </c>
      <c r="C23" s="124">
        <v>0.0503</v>
      </c>
      <c r="D23" s="124">
        <v>0.0503</v>
      </c>
      <c r="E23" s="124">
        <v>0.0503</v>
      </c>
      <c r="F23" s="102">
        <v>0.0503</v>
      </c>
      <c r="G23" s="102">
        <v>0.0503</v>
      </c>
      <c r="H23" s="102">
        <v>0.0503</v>
      </c>
      <c r="I23" s="102">
        <v>0.0503</v>
      </c>
      <c r="J23" s="102">
        <v>0.0503</v>
      </c>
      <c r="K23" s="102">
        <v>0.0503</v>
      </c>
      <c r="L23" s="102">
        <v>0.0503</v>
      </c>
      <c r="M23" s="103">
        <v>0.0503</v>
      </c>
      <c r="N23" s="104">
        <v>0.0503</v>
      </c>
      <c r="O23" s="104">
        <v>0.0503</v>
      </c>
      <c r="P23" s="104">
        <v>0.0503</v>
      </c>
      <c r="Q23" s="110"/>
      <c r="R23" s="110"/>
      <c r="S23" s="110"/>
    </row>
    <row r="24" spans="1:19" s="38" customFormat="1" ht="12.75">
      <c r="A24" s="98"/>
      <c r="B24" s="97" t="s">
        <v>34</v>
      </c>
      <c r="C24" s="127">
        <v>0.0736</v>
      </c>
      <c r="D24" s="127">
        <v>0.0752</v>
      </c>
      <c r="E24" s="105">
        <v>0.0759</v>
      </c>
      <c r="F24" s="105">
        <v>0.0817</v>
      </c>
      <c r="G24" s="105">
        <v>0.0825</v>
      </c>
      <c r="H24" s="105">
        <v>0.0865</v>
      </c>
      <c r="I24" s="105">
        <v>0.0866</v>
      </c>
      <c r="J24" s="105">
        <v>0.0871</v>
      </c>
      <c r="K24" s="105">
        <v>0.0852</v>
      </c>
      <c r="L24" s="105">
        <v>0.0893</v>
      </c>
      <c r="M24" s="106">
        <v>0.0878</v>
      </c>
      <c r="N24" s="107">
        <v>0.0894</v>
      </c>
      <c r="O24" s="107">
        <v>0.091</v>
      </c>
      <c r="P24" s="107">
        <v>0.0901</v>
      </c>
      <c r="Q24" s="204"/>
      <c r="R24" s="204"/>
      <c r="S24" s="204"/>
    </row>
    <row r="25" spans="1:19" ht="12.75">
      <c r="A25" s="98"/>
      <c r="B25" s="99"/>
      <c r="C25" s="126"/>
      <c r="D25" s="126"/>
      <c r="E25" s="124"/>
      <c r="F25" s="108"/>
      <c r="G25" s="108"/>
      <c r="H25" s="108"/>
      <c r="I25" s="108"/>
      <c r="J25" s="108"/>
      <c r="K25" s="108"/>
      <c r="L25" s="108"/>
      <c r="M25" s="109"/>
      <c r="N25" s="110"/>
      <c r="O25" s="110"/>
      <c r="P25" s="110"/>
      <c r="Q25" s="110"/>
      <c r="R25" s="110"/>
      <c r="S25" s="110"/>
    </row>
    <row r="26" spans="1:19" ht="12.75">
      <c r="A26" s="92" t="s">
        <v>4</v>
      </c>
      <c r="B26" s="93" t="s">
        <v>30</v>
      </c>
      <c r="C26" s="124">
        <v>0.0407</v>
      </c>
      <c r="D26" s="124">
        <v>0.041</v>
      </c>
      <c r="E26" s="124">
        <v>0.0397</v>
      </c>
      <c r="F26" s="102">
        <v>0.0412</v>
      </c>
      <c r="G26" s="102">
        <v>0.0411</v>
      </c>
      <c r="H26" s="102">
        <v>0.0406</v>
      </c>
      <c r="I26" s="102">
        <v>0.0419</v>
      </c>
      <c r="J26" s="102">
        <v>0.0399</v>
      </c>
      <c r="K26" s="102">
        <v>0.0395</v>
      </c>
      <c r="L26" s="102">
        <v>0.039</v>
      </c>
      <c r="M26" s="103">
        <v>0.0391</v>
      </c>
      <c r="N26" s="104">
        <v>0.0386</v>
      </c>
      <c r="O26" s="104">
        <v>0.0385</v>
      </c>
      <c r="P26" s="104">
        <v>0.0379</v>
      </c>
      <c r="Q26" s="110"/>
      <c r="R26" s="110"/>
      <c r="S26" s="110"/>
    </row>
    <row r="27" spans="1:19" ht="12.75">
      <c r="A27" s="98"/>
      <c r="B27" s="93" t="s">
        <v>31</v>
      </c>
      <c r="C27" s="124">
        <v>0.1196</v>
      </c>
      <c r="D27" s="124">
        <v>0.1172</v>
      </c>
      <c r="E27" s="124">
        <v>0.1146</v>
      </c>
      <c r="F27" s="102">
        <v>0.1146</v>
      </c>
      <c r="G27" s="102">
        <v>0.1186</v>
      </c>
      <c r="H27" s="102">
        <v>0.1348</v>
      </c>
      <c r="I27" s="102">
        <v>0.1327</v>
      </c>
      <c r="J27" s="102">
        <v>0.1325</v>
      </c>
      <c r="K27" s="102">
        <v>0.1326</v>
      </c>
      <c r="L27" s="102">
        <v>0.1276</v>
      </c>
      <c r="M27" s="103">
        <v>0.1385</v>
      </c>
      <c r="N27" s="104">
        <v>0.1357</v>
      </c>
      <c r="O27" s="104">
        <v>0.1361</v>
      </c>
      <c r="P27" s="104">
        <v>0.1302</v>
      </c>
      <c r="Q27" s="110"/>
      <c r="R27" s="110"/>
      <c r="S27" s="110"/>
    </row>
    <row r="28" spans="1:19" ht="12.75">
      <c r="A28" s="98"/>
      <c r="B28" s="93" t="s">
        <v>32</v>
      </c>
      <c r="C28" s="124">
        <v>0.4957</v>
      </c>
      <c r="D28" s="124">
        <v>0.4962</v>
      </c>
      <c r="E28" s="124">
        <v>0.4948</v>
      </c>
      <c r="F28" s="102">
        <v>0.4985</v>
      </c>
      <c r="G28" s="102">
        <v>0.5108</v>
      </c>
      <c r="H28" s="102">
        <v>0.515</v>
      </c>
      <c r="I28" s="102">
        <v>0.5215</v>
      </c>
      <c r="J28" s="102">
        <v>0.5219</v>
      </c>
      <c r="K28" s="102">
        <v>0.541</v>
      </c>
      <c r="L28" s="102">
        <v>0.5416</v>
      </c>
      <c r="M28" s="103">
        <v>0.551</v>
      </c>
      <c r="N28" s="104">
        <v>0.5498</v>
      </c>
      <c r="O28" s="104">
        <v>0.5466</v>
      </c>
      <c r="P28" s="104">
        <v>0.5508</v>
      </c>
      <c r="Q28" s="110"/>
      <c r="R28" s="110"/>
      <c r="S28" s="110"/>
    </row>
    <row r="29" spans="1:19" ht="12.75">
      <c r="A29" s="98"/>
      <c r="B29" s="93" t="s">
        <v>33</v>
      </c>
      <c r="C29" s="124">
        <v>0.0417</v>
      </c>
      <c r="D29" s="124">
        <v>0.0417</v>
      </c>
      <c r="E29" s="124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0.0217</v>
      </c>
      <c r="M29" s="103">
        <v>0.0217</v>
      </c>
      <c r="N29" s="104">
        <v>0</v>
      </c>
      <c r="O29" s="104">
        <v>0</v>
      </c>
      <c r="P29" s="104">
        <v>0</v>
      </c>
      <c r="Q29" s="110"/>
      <c r="R29" s="110"/>
      <c r="S29" s="110"/>
    </row>
    <row r="30" spans="1:19" s="38" customFormat="1" ht="12.75">
      <c r="A30" s="98"/>
      <c r="B30" s="97" t="s">
        <v>34</v>
      </c>
      <c r="C30" s="127">
        <v>0.0989</v>
      </c>
      <c r="D30" s="127">
        <v>0.0993</v>
      </c>
      <c r="E30" s="105">
        <v>0.098</v>
      </c>
      <c r="F30" s="105">
        <v>0.1006</v>
      </c>
      <c r="G30" s="105">
        <v>0.1027</v>
      </c>
      <c r="H30" s="105">
        <v>0.1041</v>
      </c>
      <c r="I30" s="105">
        <v>0.1071</v>
      </c>
      <c r="J30" s="105">
        <v>0.1055</v>
      </c>
      <c r="K30" s="105">
        <v>0.1082</v>
      </c>
      <c r="L30" s="105">
        <v>0.1089</v>
      </c>
      <c r="M30" s="106">
        <v>0.1115</v>
      </c>
      <c r="N30" s="107">
        <v>0.1114</v>
      </c>
      <c r="O30" s="107">
        <v>0.1112</v>
      </c>
      <c r="P30" s="107">
        <v>0.1121</v>
      </c>
      <c r="Q30" s="204"/>
      <c r="R30" s="204"/>
      <c r="S30" s="204"/>
    </row>
    <row r="31" spans="1:19" ht="12.75">
      <c r="A31" s="98"/>
      <c r="B31" s="99"/>
      <c r="C31" s="126"/>
      <c r="D31" s="126"/>
      <c r="E31" s="124"/>
      <c r="F31" s="108"/>
      <c r="G31" s="108"/>
      <c r="H31" s="108"/>
      <c r="I31" s="108"/>
      <c r="J31" s="108"/>
      <c r="K31" s="108"/>
      <c r="L31" s="108"/>
      <c r="M31" s="109"/>
      <c r="N31" s="110"/>
      <c r="O31" s="110"/>
      <c r="P31" s="110"/>
      <c r="Q31" s="110"/>
      <c r="R31" s="110"/>
      <c r="S31" s="110"/>
    </row>
    <row r="32" spans="1:19" ht="12.75">
      <c r="A32" s="92" t="s">
        <v>5</v>
      </c>
      <c r="B32" s="93" t="s">
        <v>30</v>
      </c>
      <c r="C32" s="124">
        <v>0.0639</v>
      </c>
      <c r="D32" s="124">
        <v>0.067</v>
      </c>
      <c r="E32" s="124">
        <v>0.0652</v>
      </c>
      <c r="F32" s="102">
        <v>0.0668</v>
      </c>
      <c r="G32" s="102">
        <v>0.0651</v>
      </c>
      <c r="H32" s="102">
        <v>0.0654</v>
      </c>
      <c r="I32" s="102">
        <v>0.0668</v>
      </c>
      <c r="J32" s="102">
        <v>0.0644</v>
      </c>
      <c r="K32" s="102">
        <v>0.0634</v>
      </c>
      <c r="L32" s="102">
        <v>0.0634</v>
      </c>
      <c r="M32" s="103">
        <v>0.0608</v>
      </c>
      <c r="N32" s="104">
        <v>0.0596</v>
      </c>
      <c r="O32" s="104">
        <v>0.0594</v>
      </c>
      <c r="P32" s="104">
        <v>0.0577</v>
      </c>
      <c r="Q32" s="110"/>
      <c r="R32" s="110"/>
      <c r="S32" s="110"/>
    </row>
    <row r="33" spans="1:19" ht="12.75">
      <c r="A33" s="98"/>
      <c r="B33" s="93" t="s">
        <v>31</v>
      </c>
      <c r="C33" s="124">
        <v>0.1299</v>
      </c>
      <c r="D33" s="124">
        <v>0.1229</v>
      </c>
      <c r="E33" s="124">
        <v>0.1186</v>
      </c>
      <c r="F33" s="102">
        <v>0.1173</v>
      </c>
      <c r="G33" s="102">
        <v>0.1096</v>
      </c>
      <c r="H33" s="102">
        <v>0.1048</v>
      </c>
      <c r="I33" s="102">
        <v>0.1031</v>
      </c>
      <c r="J33" s="102">
        <v>0.1014</v>
      </c>
      <c r="K33" s="102">
        <v>0.0926</v>
      </c>
      <c r="L33" s="102">
        <v>0.0905</v>
      </c>
      <c r="M33" s="103">
        <v>0.0847</v>
      </c>
      <c r="N33" s="104">
        <v>0.0787</v>
      </c>
      <c r="O33" s="104">
        <v>0.0722</v>
      </c>
      <c r="P33" s="104">
        <v>0.0615</v>
      </c>
      <c r="Q33" s="110"/>
      <c r="R33" s="110"/>
      <c r="S33" s="110"/>
    </row>
    <row r="34" spans="1:19" ht="12.75">
      <c r="A34" s="98"/>
      <c r="B34" s="93" t="s">
        <v>32</v>
      </c>
      <c r="C34" s="124">
        <v>0.7232</v>
      </c>
      <c r="D34" s="124">
        <v>0.7295</v>
      </c>
      <c r="E34" s="124">
        <v>0.7336</v>
      </c>
      <c r="F34" s="102">
        <v>0.739</v>
      </c>
      <c r="G34" s="102">
        <v>0.7367</v>
      </c>
      <c r="H34" s="102">
        <v>0.7334</v>
      </c>
      <c r="I34" s="102">
        <v>0.7532</v>
      </c>
      <c r="J34" s="102">
        <v>0.7544</v>
      </c>
      <c r="K34" s="102">
        <v>0.754</v>
      </c>
      <c r="L34" s="102">
        <v>0.7551</v>
      </c>
      <c r="M34" s="103">
        <v>0.7547</v>
      </c>
      <c r="N34" s="104">
        <v>0.7565</v>
      </c>
      <c r="O34" s="104">
        <v>0.7603</v>
      </c>
      <c r="P34" s="104">
        <v>0.7744</v>
      </c>
      <c r="Q34" s="110"/>
      <c r="R34" s="110"/>
      <c r="S34" s="110"/>
    </row>
    <row r="35" spans="1:19" ht="12.75">
      <c r="A35" s="98"/>
      <c r="B35" s="93" t="s">
        <v>33</v>
      </c>
      <c r="C35" s="124">
        <v>0.2105</v>
      </c>
      <c r="D35" s="124">
        <v>0.2105</v>
      </c>
      <c r="E35" s="124">
        <v>0.2105</v>
      </c>
      <c r="F35" s="102">
        <v>0.2105</v>
      </c>
      <c r="G35" s="102">
        <v>0.2105</v>
      </c>
      <c r="H35" s="102">
        <v>0.1667</v>
      </c>
      <c r="I35" s="102">
        <v>0.1667</v>
      </c>
      <c r="J35" s="102">
        <v>0.1667</v>
      </c>
      <c r="K35" s="102">
        <v>0.1667</v>
      </c>
      <c r="L35" s="102">
        <v>0.1667</v>
      </c>
      <c r="M35" s="103">
        <v>0.1667</v>
      </c>
      <c r="N35" s="104">
        <v>0.1667</v>
      </c>
      <c r="O35" s="104">
        <v>0.1667</v>
      </c>
      <c r="P35" s="104">
        <v>0.1905</v>
      </c>
      <c r="Q35" s="110"/>
      <c r="R35" s="110"/>
      <c r="S35" s="110"/>
    </row>
    <row r="36" spans="1:19" s="38" customFormat="1" ht="12.75">
      <c r="A36" s="98"/>
      <c r="B36" s="97" t="s">
        <v>34</v>
      </c>
      <c r="C36" s="127">
        <v>0.3191</v>
      </c>
      <c r="D36" s="127">
        <v>0.3256</v>
      </c>
      <c r="E36" s="105">
        <v>0.3286</v>
      </c>
      <c r="F36" s="105">
        <v>0.3335</v>
      </c>
      <c r="G36" s="105">
        <v>0.3337</v>
      </c>
      <c r="H36" s="105">
        <v>0.3336</v>
      </c>
      <c r="I36" s="105">
        <v>0.3433</v>
      </c>
      <c r="J36" s="105">
        <v>0.3457</v>
      </c>
      <c r="K36" s="105">
        <v>0.3466</v>
      </c>
      <c r="L36" s="105">
        <v>0.3497</v>
      </c>
      <c r="M36" s="106">
        <v>0.3499</v>
      </c>
      <c r="N36" s="107">
        <v>0.3537</v>
      </c>
      <c r="O36" s="107">
        <v>0.3589</v>
      </c>
      <c r="P36" s="107">
        <v>0.3678</v>
      </c>
      <c r="Q36" s="204"/>
      <c r="R36" s="204"/>
      <c r="S36" s="204"/>
    </row>
    <row r="37" spans="1:19" ht="12.75">
      <c r="A37" s="98"/>
      <c r="B37" s="99"/>
      <c r="C37" s="126"/>
      <c r="D37" s="126"/>
      <c r="E37" s="124"/>
      <c r="F37" s="108"/>
      <c r="G37" s="108"/>
      <c r="H37" s="108"/>
      <c r="I37" s="108"/>
      <c r="J37" s="108"/>
      <c r="K37" s="108"/>
      <c r="L37" s="108"/>
      <c r="M37" s="109"/>
      <c r="N37" s="110"/>
      <c r="O37" s="110"/>
      <c r="P37" s="110"/>
      <c r="Q37" s="110"/>
      <c r="R37" s="110"/>
      <c r="S37" s="110"/>
    </row>
    <row r="38" spans="1:19" ht="12.75">
      <c r="A38" s="92" t="s">
        <v>6</v>
      </c>
      <c r="B38" s="93" t="s">
        <v>30</v>
      </c>
      <c r="C38" s="124">
        <v>0.0581</v>
      </c>
      <c r="D38" s="124">
        <v>0.0572</v>
      </c>
      <c r="E38" s="124">
        <v>0.0553</v>
      </c>
      <c r="F38" s="102">
        <v>0.0588</v>
      </c>
      <c r="G38" s="102">
        <v>0.0596</v>
      </c>
      <c r="H38" s="102">
        <v>0.0595</v>
      </c>
      <c r="I38" s="102">
        <v>0.06</v>
      </c>
      <c r="J38" s="102">
        <v>0.0587</v>
      </c>
      <c r="K38" s="102">
        <v>0.0578</v>
      </c>
      <c r="L38" s="102">
        <v>0.0579</v>
      </c>
      <c r="M38" s="103">
        <v>0.0561</v>
      </c>
      <c r="N38" s="104">
        <v>0.0544</v>
      </c>
      <c r="O38" s="104">
        <v>0.0547</v>
      </c>
      <c r="P38" s="104">
        <v>0.0531</v>
      </c>
      <c r="Q38" s="110"/>
      <c r="R38" s="110"/>
      <c r="S38" s="110"/>
    </row>
    <row r="39" spans="1:19" ht="12.75">
      <c r="A39" s="98"/>
      <c r="B39" s="93" t="s">
        <v>31</v>
      </c>
      <c r="C39" s="124">
        <v>0.3673</v>
      </c>
      <c r="D39" s="124">
        <v>0.3646</v>
      </c>
      <c r="E39" s="124">
        <v>0.3617</v>
      </c>
      <c r="F39" s="102">
        <v>0.3587</v>
      </c>
      <c r="G39" s="102">
        <v>0.3556</v>
      </c>
      <c r="H39" s="102">
        <v>0.3523</v>
      </c>
      <c r="I39" s="102">
        <v>0.3488</v>
      </c>
      <c r="J39" s="102">
        <v>0.3452</v>
      </c>
      <c r="K39" s="102">
        <v>0.3415</v>
      </c>
      <c r="L39" s="102">
        <v>0.35</v>
      </c>
      <c r="M39" s="103">
        <v>0.3462</v>
      </c>
      <c r="N39" s="104">
        <v>0.3421</v>
      </c>
      <c r="O39" s="104">
        <v>0.3378</v>
      </c>
      <c r="P39" s="104">
        <v>0.3333</v>
      </c>
      <c r="Q39" s="110"/>
      <c r="R39" s="110"/>
      <c r="S39" s="110"/>
    </row>
    <row r="40" spans="1:19" ht="12.75">
      <c r="A40" s="98"/>
      <c r="B40" s="93" t="s">
        <v>32</v>
      </c>
      <c r="C40" s="124">
        <v>0.7301</v>
      </c>
      <c r="D40" s="124">
        <v>0.7341</v>
      </c>
      <c r="E40" s="124">
        <v>0.7385</v>
      </c>
      <c r="F40" s="102">
        <v>0.7382</v>
      </c>
      <c r="G40" s="102">
        <v>0.7453</v>
      </c>
      <c r="H40" s="102">
        <v>0.7491</v>
      </c>
      <c r="I40" s="102">
        <v>0.7555</v>
      </c>
      <c r="J40" s="102">
        <v>0.7579</v>
      </c>
      <c r="K40" s="102">
        <v>0.7582</v>
      </c>
      <c r="L40" s="102">
        <v>0.7603</v>
      </c>
      <c r="M40" s="103">
        <v>0.7603</v>
      </c>
      <c r="N40" s="104">
        <v>0.7642</v>
      </c>
      <c r="O40" s="104">
        <v>0.7648</v>
      </c>
      <c r="P40" s="104">
        <v>0.7667</v>
      </c>
      <c r="Q40" s="110"/>
      <c r="R40" s="110"/>
      <c r="S40" s="110"/>
    </row>
    <row r="41" spans="1:19" ht="12.75">
      <c r="A41" s="98"/>
      <c r="B41" s="93" t="s">
        <v>33</v>
      </c>
      <c r="C41" s="124">
        <v>0.3111</v>
      </c>
      <c r="D41" s="124">
        <v>0.3111</v>
      </c>
      <c r="E41" s="124">
        <v>0.3111</v>
      </c>
      <c r="F41" s="102">
        <v>0.3111</v>
      </c>
      <c r="G41" s="102">
        <v>0.3111</v>
      </c>
      <c r="H41" s="102">
        <v>0.3111</v>
      </c>
      <c r="I41" s="102">
        <v>0.3111</v>
      </c>
      <c r="J41" s="102">
        <v>0.3193</v>
      </c>
      <c r="K41" s="102">
        <v>0.3297</v>
      </c>
      <c r="L41" s="102">
        <v>0.3504</v>
      </c>
      <c r="M41" s="103">
        <v>0.3504</v>
      </c>
      <c r="N41" s="104">
        <v>0.3484</v>
      </c>
      <c r="O41" s="104">
        <v>0.3529</v>
      </c>
      <c r="P41" s="104">
        <v>0.3529</v>
      </c>
      <c r="Q41" s="110"/>
      <c r="R41" s="110"/>
      <c r="S41" s="110"/>
    </row>
    <row r="42" spans="1:19" s="38" customFormat="1" ht="12.75">
      <c r="A42" s="98"/>
      <c r="B42" s="97" t="s">
        <v>34</v>
      </c>
      <c r="C42" s="127">
        <v>0.2304</v>
      </c>
      <c r="D42" s="127">
        <v>0.2324</v>
      </c>
      <c r="E42" s="105">
        <v>0.2376</v>
      </c>
      <c r="F42" s="105">
        <v>0.2424</v>
      </c>
      <c r="G42" s="105">
        <v>0.247</v>
      </c>
      <c r="H42" s="105">
        <v>0.2512</v>
      </c>
      <c r="I42" s="105">
        <v>0.2551</v>
      </c>
      <c r="J42" s="105">
        <v>0.2577</v>
      </c>
      <c r="K42" s="105">
        <v>0.2598</v>
      </c>
      <c r="L42" s="105">
        <v>0.2634</v>
      </c>
      <c r="M42" s="106">
        <v>0.2648</v>
      </c>
      <c r="N42" s="107">
        <v>0.2676</v>
      </c>
      <c r="O42" s="107">
        <v>0.2704</v>
      </c>
      <c r="P42" s="107">
        <v>0.2715</v>
      </c>
      <c r="Q42" s="204"/>
      <c r="R42" s="204"/>
      <c r="S42" s="204"/>
    </row>
    <row r="43" spans="1:19" ht="12.75">
      <c r="A43" s="98"/>
      <c r="B43" s="99"/>
      <c r="C43" s="126"/>
      <c r="D43" s="126"/>
      <c r="E43" s="124"/>
      <c r="F43" s="108"/>
      <c r="G43" s="108"/>
      <c r="H43" s="108"/>
      <c r="I43" s="108"/>
      <c r="J43" s="108"/>
      <c r="K43" s="108"/>
      <c r="L43" s="108"/>
      <c r="M43" s="109"/>
      <c r="N43" s="110"/>
      <c r="O43" s="110"/>
      <c r="P43" s="110"/>
      <c r="Q43" s="110"/>
      <c r="R43" s="110"/>
      <c r="S43" s="110"/>
    </row>
    <row r="44" spans="1:19" ht="12.75">
      <c r="A44" s="92" t="s">
        <v>7</v>
      </c>
      <c r="B44" s="93" t="s">
        <v>30</v>
      </c>
      <c r="C44" s="124">
        <v>0.0361</v>
      </c>
      <c r="D44" s="124">
        <v>0.0373</v>
      </c>
      <c r="E44" s="124">
        <v>0.0367</v>
      </c>
      <c r="F44" s="102">
        <v>0.0391</v>
      </c>
      <c r="G44" s="102">
        <v>0.0389</v>
      </c>
      <c r="H44" s="102">
        <v>0.0383</v>
      </c>
      <c r="I44" s="102">
        <v>0.0396</v>
      </c>
      <c r="J44" s="102">
        <v>0.0384</v>
      </c>
      <c r="K44" s="102">
        <v>0.0378</v>
      </c>
      <c r="L44" s="102">
        <v>0.0386</v>
      </c>
      <c r="M44" s="103">
        <v>0.0371</v>
      </c>
      <c r="N44" s="104">
        <v>0.0365</v>
      </c>
      <c r="O44" s="104">
        <v>0.0373</v>
      </c>
      <c r="P44" s="104">
        <v>0.0355</v>
      </c>
      <c r="Q44" s="110"/>
      <c r="R44" s="110"/>
      <c r="S44" s="110"/>
    </row>
    <row r="45" spans="1:19" ht="12.75">
      <c r="A45" s="98"/>
      <c r="B45" s="93" t="s">
        <v>31</v>
      </c>
      <c r="C45" s="124">
        <v>0.1277</v>
      </c>
      <c r="D45" s="124">
        <v>0.1285</v>
      </c>
      <c r="E45" s="124">
        <v>0.1252</v>
      </c>
      <c r="F45" s="102">
        <v>0.1245</v>
      </c>
      <c r="G45" s="102">
        <v>0.1238</v>
      </c>
      <c r="H45" s="102">
        <v>0.1282</v>
      </c>
      <c r="I45" s="102">
        <v>0.1284</v>
      </c>
      <c r="J45" s="102">
        <v>0.1266</v>
      </c>
      <c r="K45" s="102">
        <v>0.1246</v>
      </c>
      <c r="L45" s="102">
        <v>0.127</v>
      </c>
      <c r="M45" s="103">
        <v>0.1239</v>
      </c>
      <c r="N45" s="104">
        <v>0.1234</v>
      </c>
      <c r="O45" s="104">
        <v>0.1204</v>
      </c>
      <c r="P45" s="104">
        <v>0.1163</v>
      </c>
      <c r="Q45" s="110"/>
      <c r="R45" s="110"/>
      <c r="S45" s="110"/>
    </row>
    <row r="46" spans="1:19" ht="12.75">
      <c r="A46" s="98"/>
      <c r="B46" s="93" t="s">
        <v>32</v>
      </c>
      <c r="C46" s="124">
        <v>0.4926</v>
      </c>
      <c r="D46" s="124">
        <v>0.4974</v>
      </c>
      <c r="E46" s="124">
        <v>0.502</v>
      </c>
      <c r="F46" s="102">
        <v>0.5123</v>
      </c>
      <c r="G46" s="102">
        <v>0.5184</v>
      </c>
      <c r="H46" s="102">
        <v>0.5191</v>
      </c>
      <c r="I46" s="102">
        <v>0.5275</v>
      </c>
      <c r="J46" s="102">
        <v>0.5316</v>
      </c>
      <c r="K46" s="102">
        <v>0.5349</v>
      </c>
      <c r="L46" s="102">
        <v>0.5416</v>
      </c>
      <c r="M46" s="103">
        <v>0.5395</v>
      </c>
      <c r="N46" s="104">
        <v>0.5463</v>
      </c>
      <c r="O46" s="104">
        <v>0.5494</v>
      </c>
      <c r="P46" s="104">
        <v>0.5561</v>
      </c>
      <c r="Q46" s="110"/>
      <c r="R46" s="110"/>
      <c r="S46" s="110"/>
    </row>
    <row r="47" spans="1:19" ht="12.75">
      <c r="A47" s="98"/>
      <c r="B47" s="93" t="s">
        <v>33</v>
      </c>
      <c r="C47" s="124">
        <v>0.0777</v>
      </c>
      <c r="D47" s="124">
        <v>0.0798</v>
      </c>
      <c r="E47" s="124">
        <v>0.0726</v>
      </c>
      <c r="F47" s="102">
        <v>0.0782</v>
      </c>
      <c r="G47" s="102">
        <v>0.0782</v>
      </c>
      <c r="H47" s="102">
        <v>0.0753</v>
      </c>
      <c r="I47" s="102">
        <v>0.0676</v>
      </c>
      <c r="J47" s="102">
        <v>0.0682</v>
      </c>
      <c r="K47" s="102">
        <v>0.0691</v>
      </c>
      <c r="L47" s="102">
        <v>0.0744</v>
      </c>
      <c r="M47" s="103">
        <v>0.0744</v>
      </c>
      <c r="N47" s="104">
        <v>0.0749</v>
      </c>
      <c r="O47" s="104">
        <v>0.0783</v>
      </c>
      <c r="P47" s="104">
        <v>0.0796</v>
      </c>
      <c r="Q47" s="110"/>
      <c r="R47" s="110"/>
      <c r="S47" s="110"/>
    </row>
    <row r="48" spans="1:19" s="38" customFormat="1" ht="12.75">
      <c r="A48" s="98"/>
      <c r="B48" s="97" t="s">
        <v>35</v>
      </c>
      <c r="C48" s="127">
        <v>0.1051</v>
      </c>
      <c r="D48" s="127">
        <v>0.1075</v>
      </c>
      <c r="E48" s="105">
        <v>0.1086</v>
      </c>
      <c r="F48" s="105">
        <v>0.1132</v>
      </c>
      <c r="G48" s="105">
        <v>0.115</v>
      </c>
      <c r="H48" s="105">
        <v>0.1156</v>
      </c>
      <c r="I48" s="105">
        <v>0.1182</v>
      </c>
      <c r="J48" s="105">
        <v>0.1186</v>
      </c>
      <c r="K48" s="105">
        <v>0.1195</v>
      </c>
      <c r="L48" s="105">
        <v>0.1225</v>
      </c>
      <c r="M48" s="106">
        <v>0.1214</v>
      </c>
      <c r="N48" s="107">
        <v>0.1235</v>
      </c>
      <c r="O48" s="107">
        <v>0.1257</v>
      </c>
      <c r="P48" s="107">
        <v>0.1266</v>
      </c>
      <c r="Q48" s="204"/>
      <c r="R48" s="204"/>
      <c r="S48" s="204"/>
    </row>
  </sheetData>
  <mergeCells count="1">
    <mergeCell ref="C6:P6"/>
  </mergeCells>
  <printOptions/>
  <pageMargins left="0.1968503937007874" right="0.1968503937007874" top="0.36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4.57421875" style="0" customWidth="1"/>
    <col min="3" max="3" width="13.57421875" style="0" customWidth="1"/>
    <col min="4" max="4" width="15.28125" style="0" customWidth="1"/>
    <col min="5" max="5" width="14.140625" style="0" customWidth="1"/>
    <col min="6" max="6" width="13.421875" style="0" customWidth="1"/>
    <col min="7" max="7" width="13.00390625" style="0" customWidth="1"/>
    <col min="8" max="8" width="13.7109375" style="0" customWidth="1"/>
    <col min="9" max="9" width="12.57421875" style="0" customWidth="1"/>
    <col min="10" max="10" width="14.140625" style="0" customWidth="1"/>
    <col min="11" max="11" width="19.140625" style="0" customWidth="1"/>
    <col min="12" max="12" width="17.140625" style="172" customWidth="1"/>
  </cols>
  <sheetData>
    <row r="1" ht="12.75">
      <c r="A1" t="s">
        <v>188</v>
      </c>
    </row>
    <row r="2" spans="1:12" ht="15.75">
      <c r="A2" s="24" t="s">
        <v>160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0"/>
    </row>
    <row r="4" spans="1:12" ht="12.75">
      <c r="A4" s="25" t="s">
        <v>144</v>
      </c>
      <c r="B4" s="174" t="s">
        <v>145</v>
      </c>
      <c r="C4" s="25" t="s">
        <v>146</v>
      </c>
      <c r="D4" s="40" t="s">
        <v>147</v>
      </c>
      <c r="E4" s="25" t="s">
        <v>148</v>
      </c>
      <c r="F4" s="40" t="s">
        <v>147</v>
      </c>
      <c r="G4" s="25" t="s">
        <v>149</v>
      </c>
      <c r="H4" s="40" t="s">
        <v>147</v>
      </c>
      <c r="I4" s="25" t="s">
        <v>150</v>
      </c>
      <c r="J4" s="40" t="s">
        <v>147</v>
      </c>
      <c r="K4" s="158" t="s">
        <v>151</v>
      </c>
      <c r="L4" s="173" t="s">
        <v>159</v>
      </c>
    </row>
    <row r="5" spans="1:12" ht="12.75">
      <c r="A5" s="52" t="s">
        <v>152</v>
      </c>
      <c r="B5" s="175">
        <f>SUM(B6:B11)</f>
        <v>575629</v>
      </c>
      <c r="C5" s="28">
        <f aca="true" t="shared" si="0" ref="C5:K5">SUM(C6:C11)</f>
        <v>598000</v>
      </c>
      <c r="D5" s="171">
        <f>SUM(C5/B5-1)</f>
        <v>0.03886357358645931</v>
      </c>
      <c r="E5" s="28">
        <f t="shared" si="0"/>
        <v>402000</v>
      </c>
      <c r="F5" s="171">
        <f>SUM(E5/B5-1)</f>
        <v>-0.30163351742181166</v>
      </c>
      <c r="G5" s="28">
        <f t="shared" si="0"/>
        <v>415000</v>
      </c>
      <c r="H5" s="171">
        <f>SUM(G5/B5-1)</f>
        <v>-0.27904952669167116</v>
      </c>
      <c r="I5" s="28">
        <f t="shared" si="0"/>
        <v>380000</v>
      </c>
      <c r="J5" s="171">
        <f>SUM(I5/B5-1)</f>
        <v>-0.3398525786574339</v>
      </c>
      <c r="K5" s="28">
        <f t="shared" si="0"/>
        <v>1795000</v>
      </c>
      <c r="L5" s="23">
        <f>SUM((K5/4)/B5-1)</f>
        <v>-0.22041801229611435</v>
      </c>
    </row>
    <row r="6" spans="1:12" ht="12.75">
      <c r="A6" s="26" t="s">
        <v>1</v>
      </c>
      <c r="B6" s="178">
        <v>327431</v>
      </c>
      <c r="C6" s="27">
        <v>340000</v>
      </c>
      <c r="D6" s="171">
        <f aca="true" t="shared" si="1" ref="D6:D74">SUM(C6/B6-1)</f>
        <v>0.03838671353659251</v>
      </c>
      <c r="E6" s="27">
        <v>229000</v>
      </c>
      <c r="F6" s="171">
        <f aca="true" t="shared" si="2" ref="F6:F74">SUM(E6/B6-1)</f>
        <v>-0.3006160076474127</v>
      </c>
      <c r="G6" s="27">
        <v>236000</v>
      </c>
      <c r="H6" s="171">
        <f aca="true" t="shared" si="3" ref="H6:H74">SUM(G6/B6-1)</f>
        <v>-0.2792374576628358</v>
      </c>
      <c r="I6" s="27">
        <v>215000</v>
      </c>
      <c r="J6" s="23">
        <f aca="true" t="shared" si="4" ref="J6:J74">SUM(I6/B6-1)</f>
        <v>-0.3433731076165666</v>
      </c>
      <c r="K6" s="165">
        <f>SUM(C6+E6+G6+I6)</f>
        <v>1020000</v>
      </c>
      <c r="L6" s="14">
        <f aca="true" t="shared" si="5" ref="L6:L74">SUM((K6/4)/B6-1)</f>
        <v>-0.22120996484755562</v>
      </c>
    </row>
    <row r="7" spans="1:12" ht="12.75">
      <c r="A7" s="26" t="s">
        <v>2</v>
      </c>
      <c r="B7" s="178">
        <v>60131</v>
      </c>
      <c r="C7" s="27">
        <v>63000</v>
      </c>
      <c r="D7" s="171">
        <f t="shared" si="1"/>
        <v>0.047712494387254445</v>
      </c>
      <c r="E7" s="27">
        <v>41000</v>
      </c>
      <c r="F7" s="171">
        <f t="shared" si="2"/>
        <v>-0.31815536079559625</v>
      </c>
      <c r="G7" s="27">
        <v>43000</v>
      </c>
      <c r="H7" s="171">
        <f t="shared" si="3"/>
        <v>-0.2848946466880644</v>
      </c>
      <c r="I7" s="27">
        <v>39000</v>
      </c>
      <c r="J7" s="23">
        <f t="shared" si="4"/>
        <v>-0.3514160749031282</v>
      </c>
      <c r="K7" s="165">
        <f aca="true" t="shared" si="6" ref="K7:K59">SUM(C7+E7+G7+I7)</f>
        <v>186000</v>
      </c>
      <c r="L7" s="14">
        <f t="shared" si="5"/>
        <v>-0.22668839699988363</v>
      </c>
    </row>
    <row r="8" spans="1:12" ht="12.75">
      <c r="A8" s="26" t="s">
        <v>3</v>
      </c>
      <c r="B8" s="178">
        <v>56898</v>
      </c>
      <c r="C8" s="27">
        <v>60000</v>
      </c>
      <c r="D8" s="171">
        <f t="shared" si="1"/>
        <v>0.05451861225350618</v>
      </c>
      <c r="E8" s="27">
        <v>40000</v>
      </c>
      <c r="F8" s="171">
        <f t="shared" si="2"/>
        <v>-0.29698759183099577</v>
      </c>
      <c r="G8" s="27">
        <v>41000</v>
      </c>
      <c r="H8" s="171">
        <f t="shared" si="3"/>
        <v>-0.2794122816267707</v>
      </c>
      <c r="I8" s="27">
        <v>38000</v>
      </c>
      <c r="J8" s="23">
        <f t="shared" si="4"/>
        <v>-0.33213821223944606</v>
      </c>
      <c r="K8" s="165">
        <f t="shared" si="6"/>
        <v>179000</v>
      </c>
      <c r="L8" s="14">
        <f t="shared" si="5"/>
        <v>-0.21350486836092653</v>
      </c>
    </row>
    <row r="9" spans="1:12" ht="12.75">
      <c r="A9" s="26" t="s">
        <v>4</v>
      </c>
      <c r="B9" s="178">
        <v>66248</v>
      </c>
      <c r="C9" s="27">
        <v>69000</v>
      </c>
      <c r="D9" s="171">
        <f t="shared" si="1"/>
        <v>0.04154087670571194</v>
      </c>
      <c r="E9" s="27">
        <v>47000</v>
      </c>
      <c r="F9" s="171">
        <f t="shared" si="2"/>
        <v>-0.29054462021494987</v>
      </c>
      <c r="G9" s="27">
        <v>48000</v>
      </c>
      <c r="H9" s="171">
        <f t="shared" si="3"/>
        <v>-0.2754498249003744</v>
      </c>
      <c r="I9" s="27">
        <v>44000</v>
      </c>
      <c r="J9" s="23">
        <f t="shared" si="4"/>
        <v>-0.3358290061586765</v>
      </c>
      <c r="K9" s="165">
        <f t="shared" si="6"/>
        <v>208000</v>
      </c>
      <c r="L9" s="14">
        <f t="shared" si="5"/>
        <v>-0.21507064364207218</v>
      </c>
    </row>
    <row r="10" spans="1:12" ht="12.75">
      <c r="A10" s="26" t="s">
        <v>5</v>
      </c>
      <c r="B10" s="178">
        <v>25853</v>
      </c>
      <c r="C10" s="27">
        <v>26500</v>
      </c>
      <c r="D10" s="171">
        <f t="shared" si="1"/>
        <v>0.025026109155610543</v>
      </c>
      <c r="E10" s="27">
        <v>17000</v>
      </c>
      <c r="F10" s="171">
        <f t="shared" si="2"/>
        <v>-0.3424360809190423</v>
      </c>
      <c r="G10" s="27">
        <v>18000</v>
      </c>
      <c r="H10" s="171">
        <f t="shared" si="3"/>
        <v>-0.3037558503848683</v>
      </c>
      <c r="I10" s="27">
        <v>17000</v>
      </c>
      <c r="J10" s="23">
        <f t="shared" si="4"/>
        <v>-0.3424360809190423</v>
      </c>
      <c r="K10" s="165">
        <f t="shared" si="6"/>
        <v>78500</v>
      </c>
      <c r="L10" s="14">
        <f t="shared" si="5"/>
        <v>-0.2409004757668356</v>
      </c>
    </row>
    <row r="11" spans="1:12" ht="12.75">
      <c r="A11" s="26" t="s">
        <v>6</v>
      </c>
      <c r="B11" s="178">
        <v>39068</v>
      </c>
      <c r="C11" s="27">
        <v>39500</v>
      </c>
      <c r="D11" s="171">
        <f t="shared" si="1"/>
        <v>0.011057643083853819</v>
      </c>
      <c r="E11" s="27">
        <v>28000</v>
      </c>
      <c r="F11" s="171">
        <f t="shared" si="2"/>
        <v>-0.28330091123169854</v>
      </c>
      <c r="G11" s="27">
        <v>29000</v>
      </c>
      <c r="H11" s="171">
        <f t="shared" si="3"/>
        <v>-0.2577045152042592</v>
      </c>
      <c r="I11" s="27">
        <v>27000</v>
      </c>
      <c r="J11" s="23">
        <f t="shared" si="4"/>
        <v>-0.3088973072591379</v>
      </c>
      <c r="K11" s="165">
        <f t="shared" si="6"/>
        <v>123500</v>
      </c>
      <c r="L11" s="14">
        <f t="shared" si="5"/>
        <v>-0.20971127265281053</v>
      </c>
    </row>
    <row r="12" spans="1:12" ht="12.75">
      <c r="A12" s="26"/>
      <c r="B12" s="27"/>
      <c r="C12" s="27"/>
      <c r="D12" s="171"/>
      <c r="E12" s="27"/>
      <c r="F12" s="171"/>
      <c r="G12" s="27"/>
      <c r="H12" s="171"/>
      <c r="I12" s="27"/>
      <c r="J12" s="23"/>
      <c r="K12" s="165"/>
      <c r="L12" s="14"/>
    </row>
    <row r="13" spans="1:12" ht="12.75">
      <c r="A13" s="52" t="s">
        <v>153</v>
      </c>
      <c r="B13" s="175">
        <f>SUM(B14:B19)</f>
        <v>3476221</v>
      </c>
      <c r="C13" s="28">
        <f aca="true" t="shared" si="7" ref="C13:K13">SUM(C14:C19)</f>
        <v>2125000</v>
      </c>
      <c r="D13" s="171">
        <f t="shared" si="1"/>
        <v>-0.38870399781832055</v>
      </c>
      <c r="E13" s="28">
        <f t="shared" si="7"/>
        <v>2066000</v>
      </c>
      <c r="F13" s="171">
        <f t="shared" si="2"/>
        <v>-0.405676451525953</v>
      </c>
      <c r="G13" s="28">
        <f t="shared" si="7"/>
        <v>2059000</v>
      </c>
      <c r="H13" s="171">
        <f t="shared" si="3"/>
        <v>-0.4076901324743162</v>
      </c>
      <c r="I13" s="28">
        <f t="shared" si="7"/>
        <v>1982000</v>
      </c>
      <c r="J13" s="23">
        <f t="shared" si="4"/>
        <v>-0.4298406229063112</v>
      </c>
      <c r="K13" s="28">
        <f t="shared" si="7"/>
        <v>8232000</v>
      </c>
      <c r="L13" s="23">
        <f t="shared" si="5"/>
        <v>-0.4079778011812253</v>
      </c>
    </row>
    <row r="14" spans="1:12" ht="12.75">
      <c r="A14" s="26" t="s">
        <v>1</v>
      </c>
      <c r="B14" s="178">
        <v>1734846</v>
      </c>
      <c r="C14" s="27">
        <v>1208000</v>
      </c>
      <c r="D14" s="171">
        <f t="shared" si="1"/>
        <v>-0.3036845921770578</v>
      </c>
      <c r="E14" s="27">
        <v>1174000</v>
      </c>
      <c r="F14" s="171">
        <f t="shared" si="2"/>
        <v>-0.3232828735230677</v>
      </c>
      <c r="G14" s="27">
        <v>1171000</v>
      </c>
      <c r="H14" s="171">
        <f t="shared" si="3"/>
        <v>-0.32501213364183335</v>
      </c>
      <c r="I14" s="27">
        <v>1127000</v>
      </c>
      <c r="J14" s="23">
        <f t="shared" si="4"/>
        <v>-0.3503746153837286</v>
      </c>
      <c r="K14" s="165">
        <f t="shared" si="6"/>
        <v>4680000</v>
      </c>
      <c r="L14" s="14">
        <f t="shared" si="5"/>
        <v>-0.3255885536814219</v>
      </c>
    </row>
    <row r="15" spans="1:12" ht="12.75">
      <c r="A15" s="26" t="s">
        <v>2</v>
      </c>
      <c r="B15" s="178">
        <v>352723</v>
      </c>
      <c r="C15" s="27">
        <v>221000</v>
      </c>
      <c r="D15" s="171">
        <f t="shared" si="1"/>
        <v>-0.3734460185471319</v>
      </c>
      <c r="E15" s="27">
        <v>215000</v>
      </c>
      <c r="F15" s="171">
        <f t="shared" si="2"/>
        <v>-0.3904565338806939</v>
      </c>
      <c r="G15" s="27">
        <v>212000</v>
      </c>
      <c r="H15" s="171">
        <f t="shared" si="3"/>
        <v>-0.3989617915474749</v>
      </c>
      <c r="I15" s="27">
        <v>206000</v>
      </c>
      <c r="J15" s="23">
        <f t="shared" si="4"/>
        <v>-0.4159723068810369</v>
      </c>
      <c r="K15" s="165">
        <f t="shared" si="6"/>
        <v>854000</v>
      </c>
      <c r="L15" s="14">
        <f t="shared" si="5"/>
        <v>-0.3947091627140844</v>
      </c>
    </row>
    <row r="16" spans="1:12" ht="12.75">
      <c r="A16" s="26" t="s">
        <v>3</v>
      </c>
      <c r="B16" s="178">
        <v>330229</v>
      </c>
      <c r="C16" s="27">
        <v>211000</v>
      </c>
      <c r="D16" s="171">
        <f t="shared" si="1"/>
        <v>-0.3610494535610137</v>
      </c>
      <c r="E16" s="27">
        <v>206000</v>
      </c>
      <c r="F16" s="171">
        <f t="shared" si="2"/>
        <v>-0.37619046177046833</v>
      </c>
      <c r="G16" s="27">
        <v>206000</v>
      </c>
      <c r="H16" s="171">
        <f t="shared" si="3"/>
        <v>-0.37619046177046833</v>
      </c>
      <c r="I16" s="27">
        <v>197000</v>
      </c>
      <c r="J16" s="23">
        <f t="shared" si="4"/>
        <v>-0.4034442765474867</v>
      </c>
      <c r="K16" s="165">
        <f t="shared" si="6"/>
        <v>820000</v>
      </c>
      <c r="L16" s="14">
        <f t="shared" si="5"/>
        <v>-0.3792186634123593</v>
      </c>
    </row>
    <row r="17" spans="1:12" ht="12.75">
      <c r="A17" s="26" t="s">
        <v>4</v>
      </c>
      <c r="B17" s="178">
        <v>382293</v>
      </c>
      <c r="C17" s="27">
        <v>246000</v>
      </c>
      <c r="D17" s="171">
        <f t="shared" si="1"/>
        <v>-0.35651450588946176</v>
      </c>
      <c r="E17" s="27">
        <v>241000</v>
      </c>
      <c r="F17" s="171">
        <f t="shared" si="2"/>
        <v>-0.36959347934699305</v>
      </c>
      <c r="G17" s="27">
        <v>241000</v>
      </c>
      <c r="H17" s="171">
        <f t="shared" si="3"/>
        <v>-0.36959347934699305</v>
      </c>
      <c r="I17" s="27">
        <v>229000</v>
      </c>
      <c r="J17" s="23">
        <f t="shared" si="4"/>
        <v>-0.400983015645068</v>
      </c>
      <c r="K17" s="165">
        <f t="shared" si="6"/>
        <v>957000</v>
      </c>
      <c r="L17" s="14">
        <f t="shared" si="5"/>
        <v>-0.37417112005712894</v>
      </c>
    </row>
    <row r="18" spans="1:12" ht="12.75">
      <c r="A18" s="26" t="s">
        <v>5</v>
      </c>
      <c r="B18" s="178">
        <v>166515</v>
      </c>
      <c r="C18" s="27">
        <v>94000</v>
      </c>
      <c r="D18" s="171">
        <f t="shared" si="1"/>
        <v>-0.43548629252619886</v>
      </c>
      <c r="E18" s="27">
        <v>91000</v>
      </c>
      <c r="F18" s="171">
        <f t="shared" si="2"/>
        <v>-0.4535026874455754</v>
      </c>
      <c r="G18" s="27">
        <v>89000</v>
      </c>
      <c r="H18" s="171">
        <f t="shared" si="3"/>
        <v>-0.4655136173918266</v>
      </c>
      <c r="I18" s="27">
        <v>88000</v>
      </c>
      <c r="J18" s="23">
        <f t="shared" si="4"/>
        <v>-0.4715190823649521</v>
      </c>
      <c r="K18" s="165">
        <f t="shared" si="6"/>
        <v>362000</v>
      </c>
      <c r="L18" s="14">
        <f t="shared" si="5"/>
        <v>-0.4565054199321382</v>
      </c>
    </row>
    <row r="19" spans="1:12" ht="12.75">
      <c r="A19" s="26" t="s">
        <v>6</v>
      </c>
      <c r="B19" s="178">
        <v>509615</v>
      </c>
      <c r="C19" s="27">
        <v>145000</v>
      </c>
      <c r="D19" s="171">
        <f t="shared" si="1"/>
        <v>-0.7154714833747045</v>
      </c>
      <c r="E19" s="27">
        <v>139000</v>
      </c>
      <c r="F19" s="171">
        <f t="shared" si="2"/>
        <v>-0.727245077166096</v>
      </c>
      <c r="G19" s="27">
        <v>140000</v>
      </c>
      <c r="H19" s="171">
        <f t="shared" si="3"/>
        <v>-0.7252828115341974</v>
      </c>
      <c r="I19" s="27">
        <v>135000</v>
      </c>
      <c r="J19" s="23">
        <f t="shared" si="4"/>
        <v>-0.7350941396936903</v>
      </c>
      <c r="K19" s="165">
        <f t="shared" si="6"/>
        <v>559000</v>
      </c>
      <c r="L19" s="14">
        <f t="shared" si="5"/>
        <v>-0.725773377942172</v>
      </c>
    </row>
    <row r="20" spans="1:12" ht="12.75">
      <c r="A20" s="26"/>
      <c r="B20" s="27"/>
      <c r="C20" s="27"/>
      <c r="D20" s="171"/>
      <c r="E20" s="27"/>
      <c r="F20" s="171"/>
      <c r="G20" s="27"/>
      <c r="H20" s="171"/>
      <c r="I20" s="27"/>
      <c r="J20" s="23"/>
      <c r="K20" s="165"/>
      <c r="L20" s="14"/>
    </row>
    <row r="21" spans="1:12" ht="12.75">
      <c r="A21" s="52" t="s">
        <v>154</v>
      </c>
      <c r="B21" s="175">
        <f>SUM(B22:B27)</f>
        <v>12894997</v>
      </c>
      <c r="C21" s="28">
        <f aca="true" t="shared" si="8" ref="C21:K21">SUM(C22:C27)</f>
        <v>3671000</v>
      </c>
      <c r="D21" s="171">
        <f t="shared" si="1"/>
        <v>-0.7153159477276343</v>
      </c>
      <c r="E21" s="28">
        <f t="shared" si="8"/>
        <v>944000</v>
      </c>
      <c r="F21" s="171">
        <f t="shared" si="2"/>
        <v>-0.92679331371694</v>
      </c>
      <c r="G21" s="28">
        <f t="shared" si="8"/>
        <v>1896000</v>
      </c>
      <c r="H21" s="171">
        <f t="shared" si="3"/>
        <v>-0.8529662317874134</v>
      </c>
      <c r="I21" s="28">
        <f t="shared" si="8"/>
        <v>955000</v>
      </c>
      <c r="J21" s="23">
        <f t="shared" si="4"/>
        <v>-0.9259402697030484</v>
      </c>
      <c r="K21" s="28">
        <f t="shared" si="8"/>
        <v>7466000</v>
      </c>
      <c r="L21" s="23">
        <f t="shared" si="5"/>
        <v>-0.8552539407337589</v>
      </c>
    </row>
    <row r="22" spans="1:12" ht="12.75">
      <c r="A22" s="26" t="s">
        <v>1</v>
      </c>
      <c r="B22" s="178">
        <v>7333645</v>
      </c>
      <c r="C22" s="27">
        <v>2088000</v>
      </c>
      <c r="D22" s="171">
        <f t="shared" si="1"/>
        <v>-0.7152848276675514</v>
      </c>
      <c r="E22" s="27">
        <v>720000</v>
      </c>
      <c r="F22" s="171">
        <f t="shared" si="2"/>
        <v>-0.9018223543681212</v>
      </c>
      <c r="G22" s="27">
        <v>972000</v>
      </c>
      <c r="H22" s="171">
        <f t="shared" si="3"/>
        <v>-0.8674601783969635</v>
      </c>
      <c r="I22" s="27">
        <v>492000</v>
      </c>
      <c r="J22" s="23">
        <f t="shared" si="4"/>
        <v>-0.9329119421515495</v>
      </c>
      <c r="K22" s="165">
        <f t="shared" si="6"/>
        <v>4272000</v>
      </c>
      <c r="L22" s="14">
        <f t="shared" si="5"/>
        <v>-0.8543698256460464</v>
      </c>
    </row>
    <row r="23" spans="1:12" ht="12.75">
      <c r="A23" s="26" t="s">
        <v>2</v>
      </c>
      <c r="B23" s="178">
        <v>1345941</v>
      </c>
      <c r="C23" s="27">
        <v>378000</v>
      </c>
      <c r="D23" s="171">
        <f t="shared" si="1"/>
        <v>-0.7191555944874255</v>
      </c>
      <c r="E23" s="27">
        <v>54000</v>
      </c>
      <c r="F23" s="171">
        <f t="shared" si="2"/>
        <v>-0.9598793706410608</v>
      </c>
      <c r="G23" s="27">
        <v>24000</v>
      </c>
      <c r="H23" s="171">
        <f t="shared" si="3"/>
        <v>-0.9821686091738048</v>
      </c>
      <c r="I23" s="27">
        <v>320000</v>
      </c>
      <c r="J23" s="23">
        <f t="shared" si="4"/>
        <v>-0.7622481223173972</v>
      </c>
      <c r="K23" s="165">
        <f t="shared" si="6"/>
        <v>776000</v>
      </c>
      <c r="L23" s="14">
        <f t="shared" si="5"/>
        <v>-0.855862924154922</v>
      </c>
    </row>
    <row r="24" spans="1:12" ht="12.75">
      <c r="A24" s="26" t="s">
        <v>3</v>
      </c>
      <c r="B24" s="178">
        <v>1270586</v>
      </c>
      <c r="C24" s="27">
        <v>367000</v>
      </c>
      <c r="D24" s="171">
        <f t="shared" si="1"/>
        <v>-0.7111568992575079</v>
      </c>
      <c r="E24" s="27">
        <v>51000</v>
      </c>
      <c r="F24" s="171">
        <f t="shared" si="2"/>
        <v>-0.959861040496275</v>
      </c>
      <c r="G24" s="27">
        <v>332000</v>
      </c>
      <c r="H24" s="171">
        <f t="shared" si="3"/>
        <v>-0.7387032440149663</v>
      </c>
      <c r="I24" s="27">
        <v>12000</v>
      </c>
      <c r="J24" s="23">
        <f t="shared" si="4"/>
        <v>-0.9905555389403</v>
      </c>
      <c r="K24" s="165">
        <f t="shared" si="6"/>
        <v>762000</v>
      </c>
      <c r="L24" s="14">
        <f t="shared" si="5"/>
        <v>-0.8500691806772623</v>
      </c>
    </row>
    <row r="25" spans="1:12" ht="12.75">
      <c r="A25" s="26" t="s">
        <v>4</v>
      </c>
      <c r="B25" s="178">
        <v>1483685</v>
      </c>
      <c r="C25" s="27">
        <v>419000</v>
      </c>
      <c r="D25" s="171">
        <f t="shared" si="1"/>
        <v>-0.7175950420742947</v>
      </c>
      <c r="E25" s="27">
        <v>59000</v>
      </c>
      <c r="F25" s="171">
        <f t="shared" si="2"/>
        <v>-0.9602341467359985</v>
      </c>
      <c r="G25" s="27">
        <v>363000</v>
      </c>
      <c r="H25" s="171">
        <f t="shared" si="3"/>
        <v>-0.7553389027994487</v>
      </c>
      <c r="I25" s="27">
        <v>13000</v>
      </c>
      <c r="J25" s="23">
        <f t="shared" si="4"/>
        <v>-0.9912380323316607</v>
      </c>
      <c r="K25" s="165">
        <f t="shared" si="6"/>
        <v>854000</v>
      </c>
      <c r="L25" s="14">
        <f t="shared" si="5"/>
        <v>-0.8561015309853507</v>
      </c>
    </row>
    <row r="26" spans="1:12" ht="12.75">
      <c r="A26" s="26" t="s">
        <v>5</v>
      </c>
      <c r="B26" s="178">
        <v>583487</v>
      </c>
      <c r="C26" s="27">
        <v>167000</v>
      </c>
      <c r="D26" s="171">
        <f t="shared" si="1"/>
        <v>-0.7137896816895664</v>
      </c>
      <c r="E26" s="27">
        <v>24000</v>
      </c>
      <c r="F26" s="171">
        <f t="shared" si="2"/>
        <v>-0.9588679782068837</v>
      </c>
      <c r="G26" s="27">
        <v>9000</v>
      </c>
      <c r="H26" s="171">
        <f t="shared" si="3"/>
        <v>-0.9845754918275814</v>
      </c>
      <c r="I26" s="27">
        <v>109000</v>
      </c>
      <c r="J26" s="23">
        <f t="shared" si="4"/>
        <v>-0.8131920676895972</v>
      </c>
      <c r="K26" s="165">
        <f t="shared" si="6"/>
        <v>309000</v>
      </c>
      <c r="L26" s="14">
        <f t="shared" si="5"/>
        <v>-0.8676063048534072</v>
      </c>
    </row>
    <row r="27" spans="1:12" ht="12.75">
      <c r="A27" s="26" t="s">
        <v>6</v>
      </c>
      <c r="B27" s="178">
        <v>877653</v>
      </c>
      <c r="C27" s="27">
        <v>252000</v>
      </c>
      <c r="D27" s="171">
        <f t="shared" si="1"/>
        <v>-0.7128705764123178</v>
      </c>
      <c r="E27" s="27">
        <v>36000</v>
      </c>
      <c r="F27" s="171">
        <f t="shared" si="2"/>
        <v>-0.9589815109160454</v>
      </c>
      <c r="G27" s="27">
        <v>196000</v>
      </c>
      <c r="H27" s="171">
        <f t="shared" si="3"/>
        <v>-0.7766771149873584</v>
      </c>
      <c r="I27" s="27">
        <v>9000</v>
      </c>
      <c r="J27" s="23">
        <f t="shared" si="4"/>
        <v>-0.9897453777290114</v>
      </c>
      <c r="K27" s="165">
        <f t="shared" si="6"/>
        <v>493000</v>
      </c>
      <c r="L27" s="14">
        <f t="shared" si="5"/>
        <v>-0.8595686450111832</v>
      </c>
    </row>
    <row r="28" spans="1:12" ht="12.75">
      <c r="A28" s="26"/>
      <c r="B28" s="27"/>
      <c r="C28" s="27"/>
      <c r="D28" s="171"/>
      <c r="E28" s="27"/>
      <c r="F28" s="171"/>
      <c r="G28" s="27"/>
      <c r="H28" s="171"/>
      <c r="I28" s="27"/>
      <c r="J28" s="23"/>
      <c r="K28" s="165"/>
      <c r="L28" s="14"/>
    </row>
    <row r="29" spans="1:12" ht="12.75">
      <c r="A29" s="52" t="s">
        <v>155</v>
      </c>
      <c r="B29" s="175">
        <f>SUM(B30:B35)</f>
        <v>4022955</v>
      </c>
      <c r="C29" s="28">
        <f aca="true" t="shared" si="9" ref="C29:K29">SUM(C30:C35)</f>
        <v>3300000</v>
      </c>
      <c r="D29" s="171">
        <f t="shared" si="1"/>
        <v>-0.17970745384922282</v>
      </c>
      <c r="E29" s="28">
        <f t="shared" si="9"/>
        <v>2285000</v>
      </c>
      <c r="F29" s="171">
        <f t="shared" si="2"/>
        <v>-0.43200955516529516</v>
      </c>
      <c r="G29" s="28">
        <f t="shared" si="9"/>
        <v>1143000</v>
      </c>
      <c r="H29" s="171">
        <f t="shared" si="3"/>
        <v>-0.7158804908332308</v>
      </c>
      <c r="I29" s="28">
        <f t="shared" si="9"/>
        <v>1143000</v>
      </c>
      <c r="J29" s="23">
        <f t="shared" si="4"/>
        <v>-0.7158804908332308</v>
      </c>
      <c r="K29" s="28">
        <f t="shared" si="9"/>
        <v>7871000</v>
      </c>
      <c r="L29" s="23">
        <f t="shared" si="5"/>
        <v>-0.5108694976702448</v>
      </c>
    </row>
    <row r="30" spans="1:12" ht="12.75">
      <c r="A30" s="26" t="s">
        <v>1</v>
      </c>
      <c r="B30" s="178">
        <v>2301695</v>
      </c>
      <c r="C30" s="27">
        <v>1877000</v>
      </c>
      <c r="D30" s="171">
        <f t="shared" si="1"/>
        <v>-0.1845140211887326</v>
      </c>
      <c r="E30" s="27">
        <v>1300000</v>
      </c>
      <c r="F30" s="171">
        <f t="shared" si="2"/>
        <v>-0.43519884259208974</v>
      </c>
      <c r="G30" s="27">
        <v>650000</v>
      </c>
      <c r="H30" s="171">
        <f t="shared" si="3"/>
        <v>-0.7175994212960448</v>
      </c>
      <c r="I30" s="27">
        <v>650000</v>
      </c>
      <c r="J30" s="23">
        <f t="shared" si="4"/>
        <v>-0.7175994212960448</v>
      </c>
      <c r="K30" s="165">
        <f t="shared" si="6"/>
        <v>4477000</v>
      </c>
      <c r="L30" s="14">
        <f t="shared" si="5"/>
        <v>-0.513727926593228</v>
      </c>
    </row>
    <row r="31" spans="1:12" ht="12.75">
      <c r="A31" s="26" t="s">
        <v>2</v>
      </c>
      <c r="B31" s="178">
        <v>417008</v>
      </c>
      <c r="C31" s="27">
        <v>345000</v>
      </c>
      <c r="D31" s="171">
        <f t="shared" si="1"/>
        <v>-0.17267774239343125</v>
      </c>
      <c r="E31" s="27">
        <v>238000</v>
      </c>
      <c r="F31" s="171">
        <f t="shared" si="2"/>
        <v>-0.4292675440279323</v>
      </c>
      <c r="G31" s="27">
        <v>119000</v>
      </c>
      <c r="H31" s="171">
        <f t="shared" si="3"/>
        <v>-0.7146337720139662</v>
      </c>
      <c r="I31" s="27">
        <v>119000</v>
      </c>
      <c r="J31" s="23">
        <f t="shared" si="4"/>
        <v>-0.7146337720139662</v>
      </c>
      <c r="K31" s="165">
        <f t="shared" si="6"/>
        <v>821000</v>
      </c>
      <c r="L31" s="14">
        <f t="shared" si="5"/>
        <v>-0.507803207612324</v>
      </c>
    </row>
    <row r="32" spans="1:12" ht="12.75">
      <c r="A32" s="26" t="s">
        <v>3</v>
      </c>
      <c r="B32" s="178">
        <v>394597</v>
      </c>
      <c r="C32" s="27">
        <v>326000</v>
      </c>
      <c r="D32" s="171">
        <f t="shared" si="1"/>
        <v>-0.17384065261519976</v>
      </c>
      <c r="E32" s="27">
        <v>226000</v>
      </c>
      <c r="F32" s="171">
        <f t="shared" si="2"/>
        <v>-0.4272637653099238</v>
      </c>
      <c r="G32" s="27">
        <v>114000</v>
      </c>
      <c r="H32" s="171">
        <f t="shared" si="3"/>
        <v>-0.7110976515280147</v>
      </c>
      <c r="I32" s="27">
        <v>114000</v>
      </c>
      <c r="J32" s="23">
        <f t="shared" si="4"/>
        <v>-0.7110976515280147</v>
      </c>
      <c r="K32" s="165">
        <f t="shared" si="6"/>
        <v>780000</v>
      </c>
      <c r="L32" s="14">
        <f t="shared" si="5"/>
        <v>-0.5058249302452882</v>
      </c>
    </row>
    <row r="33" spans="1:12" ht="12.75">
      <c r="A33" s="26" t="s">
        <v>4</v>
      </c>
      <c r="B33" s="178">
        <v>459430</v>
      </c>
      <c r="C33" s="27">
        <v>380000</v>
      </c>
      <c r="D33" s="171">
        <f t="shared" si="1"/>
        <v>-0.17288814400452734</v>
      </c>
      <c r="E33" s="27">
        <v>263000</v>
      </c>
      <c r="F33" s="171">
        <f t="shared" si="2"/>
        <v>-0.4275515312452387</v>
      </c>
      <c r="G33" s="27">
        <v>132000</v>
      </c>
      <c r="H33" s="171">
        <f t="shared" si="3"/>
        <v>-0.712687460548941</v>
      </c>
      <c r="I33" s="27">
        <v>132000</v>
      </c>
      <c r="J33" s="23">
        <f t="shared" si="4"/>
        <v>-0.712687460548941</v>
      </c>
      <c r="K33" s="165">
        <f t="shared" si="6"/>
        <v>907000</v>
      </c>
      <c r="L33" s="14">
        <f t="shared" si="5"/>
        <v>-0.506453649086912</v>
      </c>
    </row>
    <row r="34" spans="1:12" ht="12.75">
      <c r="A34" s="26" t="s">
        <v>5</v>
      </c>
      <c r="B34" s="178">
        <v>179290</v>
      </c>
      <c r="C34" s="27">
        <v>148000</v>
      </c>
      <c r="D34" s="171">
        <f t="shared" si="1"/>
        <v>-0.17452172458028892</v>
      </c>
      <c r="E34" s="27">
        <v>103000</v>
      </c>
      <c r="F34" s="171">
        <f t="shared" si="2"/>
        <v>-0.42551174075520104</v>
      </c>
      <c r="G34" s="27">
        <v>52000</v>
      </c>
      <c r="H34" s="171">
        <f t="shared" si="3"/>
        <v>-0.7099670924201016</v>
      </c>
      <c r="I34" s="27">
        <v>52000</v>
      </c>
      <c r="J34" s="23">
        <f t="shared" si="4"/>
        <v>-0.7099670924201016</v>
      </c>
      <c r="K34" s="165">
        <f t="shared" si="6"/>
        <v>355000</v>
      </c>
      <c r="L34" s="14">
        <f t="shared" si="5"/>
        <v>-0.5049919125439233</v>
      </c>
    </row>
    <row r="35" spans="1:12" ht="12.75">
      <c r="A35" s="26" t="s">
        <v>6</v>
      </c>
      <c r="B35" s="178">
        <v>270935</v>
      </c>
      <c r="C35" s="27">
        <v>224000</v>
      </c>
      <c r="D35" s="171">
        <f t="shared" si="1"/>
        <v>-0.17323343237307842</v>
      </c>
      <c r="E35" s="27">
        <v>155000</v>
      </c>
      <c r="F35" s="171">
        <f t="shared" si="2"/>
        <v>-0.42790706257958555</v>
      </c>
      <c r="G35" s="27">
        <v>76000</v>
      </c>
      <c r="H35" s="171">
        <f t="shared" si="3"/>
        <v>-0.7194899145551517</v>
      </c>
      <c r="I35" s="27">
        <v>76000</v>
      </c>
      <c r="J35" s="23">
        <f t="shared" si="4"/>
        <v>-0.7194899145551517</v>
      </c>
      <c r="K35" s="165">
        <f t="shared" si="6"/>
        <v>531000</v>
      </c>
      <c r="L35" s="14">
        <f t="shared" si="5"/>
        <v>-0.5100300810157418</v>
      </c>
    </row>
    <row r="36" spans="1:12" ht="12.75">
      <c r="A36" s="26"/>
      <c r="B36" s="27"/>
      <c r="C36" s="27"/>
      <c r="D36" s="171"/>
      <c r="E36" s="27"/>
      <c r="F36" s="171"/>
      <c r="G36" s="27"/>
      <c r="H36" s="171"/>
      <c r="I36" s="27"/>
      <c r="J36" s="23"/>
      <c r="K36" s="165"/>
      <c r="L36" s="14"/>
    </row>
    <row r="37" spans="1:12" ht="12.75">
      <c r="A37" s="52" t="s">
        <v>161</v>
      </c>
      <c r="B37" s="175">
        <f>SUM(B38:B43)</f>
        <v>3412158</v>
      </c>
      <c r="C37" s="28">
        <f aca="true" t="shared" si="10" ref="C37:K37">SUM(C38:C43)</f>
        <v>2079000</v>
      </c>
      <c r="D37" s="171">
        <f t="shared" si="1"/>
        <v>-0.3907081676757055</v>
      </c>
      <c r="E37" s="28">
        <f t="shared" si="10"/>
        <v>1585500</v>
      </c>
      <c r="F37" s="171">
        <f t="shared" si="2"/>
        <v>-0.5353380470658158</v>
      </c>
      <c r="G37" s="28">
        <f t="shared" si="10"/>
        <v>1542500</v>
      </c>
      <c r="H37" s="171">
        <f t="shared" si="3"/>
        <v>-0.5479400426357748</v>
      </c>
      <c r="I37" s="28">
        <f t="shared" si="10"/>
        <v>1542500</v>
      </c>
      <c r="J37" s="23">
        <f t="shared" si="4"/>
        <v>-0.5479400426357748</v>
      </c>
      <c r="K37" s="28">
        <f t="shared" si="10"/>
        <v>6749500</v>
      </c>
      <c r="L37" s="23">
        <f t="shared" si="5"/>
        <v>-0.5054815750032677</v>
      </c>
    </row>
    <row r="38" spans="1:12" ht="12.75">
      <c r="A38" s="26" t="s">
        <v>1</v>
      </c>
      <c r="B38" s="178">
        <v>1968467</v>
      </c>
      <c r="C38" s="27">
        <v>1183000</v>
      </c>
      <c r="D38" s="171">
        <f t="shared" si="1"/>
        <v>-0.399024723299908</v>
      </c>
      <c r="E38" s="27">
        <v>904000</v>
      </c>
      <c r="F38" s="171">
        <f t="shared" si="2"/>
        <v>-0.5407593828090591</v>
      </c>
      <c r="G38" s="27">
        <v>879000</v>
      </c>
      <c r="H38" s="171">
        <f t="shared" si="3"/>
        <v>-0.5534596211163306</v>
      </c>
      <c r="I38" s="27">
        <v>879000</v>
      </c>
      <c r="J38" s="23">
        <f t="shared" si="4"/>
        <v>-0.5534596211163306</v>
      </c>
      <c r="K38" s="165">
        <f t="shared" si="6"/>
        <v>3845000</v>
      </c>
      <c r="L38" s="14">
        <f t="shared" si="5"/>
        <v>-0.5116758370854071</v>
      </c>
    </row>
    <row r="39" spans="1:12" ht="12.75">
      <c r="A39" s="26" t="s">
        <v>2</v>
      </c>
      <c r="B39" s="178">
        <v>349762</v>
      </c>
      <c r="C39" s="27">
        <v>217500</v>
      </c>
      <c r="D39" s="171">
        <f t="shared" si="1"/>
        <v>-0.37814856959875576</v>
      </c>
      <c r="E39" s="27">
        <v>165500</v>
      </c>
      <c r="F39" s="171">
        <f t="shared" si="2"/>
        <v>-0.5268210954877888</v>
      </c>
      <c r="G39" s="27">
        <v>160500</v>
      </c>
      <c r="H39" s="171">
        <f t="shared" si="3"/>
        <v>-0.5411165306694267</v>
      </c>
      <c r="I39" s="27">
        <v>160500</v>
      </c>
      <c r="J39" s="23">
        <f t="shared" si="4"/>
        <v>-0.5411165306694267</v>
      </c>
      <c r="K39" s="165">
        <f t="shared" si="6"/>
        <v>704000</v>
      </c>
      <c r="L39" s="14">
        <f t="shared" si="5"/>
        <v>-0.4968006816063495</v>
      </c>
    </row>
    <row r="40" spans="1:12" ht="12.75">
      <c r="A40" s="26" t="s">
        <v>3</v>
      </c>
      <c r="B40" s="178">
        <v>330965</v>
      </c>
      <c r="C40" s="27">
        <v>206000</v>
      </c>
      <c r="D40" s="171">
        <f t="shared" si="1"/>
        <v>-0.37757768948378223</v>
      </c>
      <c r="E40" s="27">
        <v>157000</v>
      </c>
      <c r="F40" s="171">
        <f t="shared" si="2"/>
        <v>-0.5256295982958923</v>
      </c>
      <c r="G40" s="27">
        <v>153500</v>
      </c>
      <c r="H40" s="171">
        <f t="shared" si="3"/>
        <v>-0.5362047346396144</v>
      </c>
      <c r="I40" s="27">
        <v>153500</v>
      </c>
      <c r="J40" s="23">
        <f t="shared" si="4"/>
        <v>-0.5362047346396144</v>
      </c>
      <c r="K40" s="165">
        <f t="shared" si="6"/>
        <v>670000</v>
      </c>
      <c r="L40" s="14">
        <f t="shared" si="5"/>
        <v>-0.4939041892647259</v>
      </c>
    </row>
    <row r="41" spans="1:12" ht="12.75">
      <c r="A41" s="26" t="s">
        <v>4</v>
      </c>
      <c r="B41" s="178">
        <v>385342</v>
      </c>
      <c r="C41" s="27">
        <v>239500</v>
      </c>
      <c r="D41" s="171">
        <f t="shared" si="1"/>
        <v>-0.37847418656673815</v>
      </c>
      <c r="E41" s="27">
        <v>182500</v>
      </c>
      <c r="F41" s="171">
        <f t="shared" si="2"/>
        <v>-0.5263947350665124</v>
      </c>
      <c r="G41" s="27">
        <v>177500</v>
      </c>
      <c r="H41" s="171">
        <f t="shared" si="3"/>
        <v>-0.5393702217770189</v>
      </c>
      <c r="I41" s="27">
        <v>177500</v>
      </c>
      <c r="J41" s="23">
        <f t="shared" si="4"/>
        <v>-0.5393702217770189</v>
      </c>
      <c r="K41" s="165">
        <f t="shared" si="6"/>
        <v>777000</v>
      </c>
      <c r="L41" s="14">
        <f t="shared" si="5"/>
        <v>-0.4959023412968221</v>
      </c>
    </row>
    <row r="42" spans="1:12" ht="12.75">
      <c r="A42" s="26" t="s">
        <v>5</v>
      </c>
      <c r="B42" s="178">
        <v>150377</v>
      </c>
      <c r="C42" s="27">
        <v>93000</v>
      </c>
      <c r="D42" s="171">
        <f t="shared" si="1"/>
        <v>-0.3815543600417617</v>
      </c>
      <c r="E42" s="27">
        <v>70500</v>
      </c>
      <c r="F42" s="171">
        <f t="shared" si="2"/>
        <v>-0.5311783051929484</v>
      </c>
      <c r="G42" s="27">
        <v>68500</v>
      </c>
      <c r="H42" s="171">
        <f t="shared" si="3"/>
        <v>-0.5444782114286094</v>
      </c>
      <c r="I42" s="27">
        <v>68500</v>
      </c>
      <c r="J42" s="23">
        <f t="shared" si="4"/>
        <v>-0.5444782114286094</v>
      </c>
      <c r="K42" s="165">
        <f t="shared" si="6"/>
        <v>300500</v>
      </c>
      <c r="L42" s="14">
        <f t="shared" si="5"/>
        <v>-0.5004222720229823</v>
      </c>
    </row>
    <row r="43" spans="1:12" ht="12.75">
      <c r="A43" s="26" t="s">
        <v>6</v>
      </c>
      <c r="B43" s="178">
        <v>227245</v>
      </c>
      <c r="C43" s="27">
        <v>140000</v>
      </c>
      <c r="D43" s="171">
        <f t="shared" si="1"/>
        <v>-0.38392483883033734</v>
      </c>
      <c r="E43" s="27">
        <v>106000</v>
      </c>
      <c r="F43" s="171">
        <f t="shared" si="2"/>
        <v>-0.5335430922572554</v>
      </c>
      <c r="G43" s="27">
        <v>103500</v>
      </c>
      <c r="H43" s="171">
        <f t="shared" si="3"/>
        <v>-0.5445444344209993</v>
      </c>
      <c r="I43" s="27">
        <v>103500</v>
      </c>
      <c r="J43" s="23">
        <f t="shared" si="4"/>
        <v>-0.5445444344209993</v>
      </c>
      <c r="K43" s="165">
        <f t="shared" si="6"/>
        <v>453000</v>
      </c>
      <c r="L43" s="14">
        <f t="shared" si="5"/>
        <v>-0.5016391999823979</v>
      </c>
    </row>
    <row r="44" spans="1:12" ht="12.75">
      <c r="A44" s="26"/>
      <c r="B44" s="27"/>
      <c r="C44" s="27"/>
      <c r="D44" s="171"/>
      <c r="E44" s="27"/>
      <c r="F44" s="171"/>
      <c r="G44" s="27"/>
      <c r="H44" s="171"/>
      <c r="I44" s="27"/>
      <c r="J44" s="23"/>
      <c r="K44" s="165"/>
      <c r="L44" s="14"/>
    </row>
    <row r="45" spans="1:12" ht="12.75">
      <c r="A45" s="52" t="s">
        <v>156</v>
      </c>
      <c r="B45" s="175">
        <f>SUM(B46:B51)</f>
        <v>1894208</v>
      </c>
      <c r="C45" s="28">
        <f aca="true" t="shared" si="11" ref="C45:K45">SUM(C46:C51)</f>
        <v>1337000</v>
      </c>
      <c r="D45" s="171">
        <f t="shared" si="1"/>
        <v>-0.2941641044700476</v>
      </c>
      <c r="E45" s="28">
        <f t="shared" si="11"/>
        <v>942000</v>
      </c>
      <c r="F45" s="171">
        <f t="shared" si="2"/>
        <v>-0.5026945298509984</v>
      </c>
      <c r="G45" s="28">
        <f t="shared" si="11"/>
        <v>633000</v>
      </c>
      <c r="H45" s="171">
        <f t="shared" si="3"/>
        <v>-0.6658233942629321</v>
      </c>
      <c r="I45" s="28">
        <f t="shared" si="11"/>
        <v>633000</v>
      </c>
      <c r="J45" s="23">
        <f t="shared" si="4"/>
        <v>-0.6658233942629321</v>
      </c>
      <c r="K45" s="28">
        <f t="shared" si="11"/>
        <v>3545000</v>
      </c>
      <c r="L45" s="23">
        <f t="shared" si="5"/>
        <v>-0.5321263557117275</v>
      </c>
    </row>
    <row r="46" spans="1:12" ht="12.75">
      <c r="A46" s="26" t="s">
        <v>1</v>
      </c>
      <c r="B46" s="178">
        <v>1081072</v>
      </c>
      <c r="C46" s="27">
        <v>760000</v>
      </c>
      <c r="D46" s="171">
        <f t="shared" si="1"/>
        <v>-0.29699409475039595</v>
      </c>
      <c r="E46" s="27">
        <v>536000</v>
      </c>
      <c r="F46" s="171">
        <f t="shared" si="2"/>
        <v>-0.504195835245016</v>
      </c>
      <c r="G46" s="27">
        <v>361000</v>
      </c>
      <c r="H46" s="171">
        <f t="shared" si="3"/>
        <v>-0.6660721950064381</v>
      </c>
      <c r="I46" s="27">
        <v>361000</v>
      </c>
      <c r="J46" s="23">
        <f t="shared" si="4"/>
        <v>-0.6660721950064381</v>
      </c>
      <c r="K46" s="165">
        <f t="shared" si="6"/>
        <v>2018000</v>
      </c>
      <c r="L46" s="14">
        <f t="shared" si="5"/>
        <v>-0.533333580002072</v>
      </c>
    </row>
    <row r="47" spans="1:12" ht="12.75">
      <c r="A47" s="26" t="s">
        <v>2</v>
      </c>
      <c r="B47" s="178">
        <v>196998</v>
      </c>
      <c r="C47" s="27">
        <v>139000</v>
      </c>
      <c r="D47" s="171">
        <f t="shared" si="1"/>
        <v>-0.2944090802952314</v>
      </c>
      <c r="E47" s="27">
        <v>98000</v>
      </c>
      <c r="F47" s="171">
        <f t="shared" si="2"/>
        <v>-0.5025330206398034</v>
      </c>
      <c r="G47" s="27">
        <v>67000</v>
      </c>
      <c r="H47" s="171">
        <f t="shared" si="3"/>
        <v>-0.6598950243149677</v>
      </c>
      <c r="I47" s="27">
        <v>67000</v>
      </c>
      <c r="J47" s="23">
        <f t="shared" si="4"/>
        <v>-0.6598950243149677</v>
      </c>
      <c r="K47" s="165">
        <f t="shared" si="6"/>
        <v>371000</v>
      </c>
      <c r="L47" s="14">
        <f t="shared" si="5"/>
        <v>-0.5291830373912425</v>
      </c>
    </row>
    <row r="48" spans="1:12" ht="12.75">
      <c r="A48" s="26" t="s">
        <v>3</v>
      </c>
      <c r="B48" s="178">
        <v>186411</v>
      </c>
      <c r="C48" s="27">
        <v>132000</v>
      </c>
      <c r="D48" s="171">
        <f t="shared" si="1"/>
        <v>-0.29188728132996444</v>
      </c>
      <c r="E48" s="27">
        <v>93000</v>
      </c>
      <c r="F48" s="171">
        <f t="shared" si="2"/>
        <v>-0.5011024027552022</v>
      </c>
      <c r="G48" s="27">
        <v>63000</v>
      </c>
      <c r="H48" s="171">
        <f t="shared" si="3"/>
        <v>-0.6620371115438466</v>
      </c>
      <c r="I48" s="27">
        <v>63000</v>
      </c>
      <c r="J48" s="23">
        <f t="shared" si="4"/>
        <v>-0.6620371115438466</v>
      </c>
      <c r="K48" s="165">
        <f t="shared" si="6"/>
        <v>351000</v>
      </c>
      <c r="L48" s="14">
        <f t="shared" si="5"/>
        <v>-0.529265976793215</v>
      </c>
    </row>
    <row r="49" spans="1:12" ht="12.75">
      <c r="A49" s="26" t="s">
        <v>4</v>
      </c>
      <c r="B49" s="178">
        <v>217038</v>
      </c>
      <c r="C49" s="27">
        <v>154000</v>
      </c>
      <c r="D49" s="171">
        <f t="shared" si="1"/>
        <v>-0.29044683419493356</v>
      </c>
      <c r="E49" s="27">
        <v>108000</v>
      </c>
      <c r="F49" s="171">
        <f t="shared" si="2"/>
        <v>-0.5023912863185249</v>
      </c>
      <c r="G49" s="27">
        <v>73000</v>
      </c>
      <c r="H49" s="171">
        <f t="shared" si="3"/>
        <v>-0.66365336945604</v>
      </c>
      <c r="I49" s="27">
        <v>73000</v>
      </c>
      <c r="J49" s="23">
        <f t="shared" si="4"/>
        <v>-0.66365336945604</v>
      </c>
      <c r="K49" s="165">
        <f t="shared" si="6"/>
        <v>408000</v>
      </c>
      <c r="L49" s="14">
        <f t="shared" si="5"/>
        <v>-0.5300362148563846</v>
      </c>
    </row>
    <row r="50" spans="1:12" ht="12.75">
      <c r="A50" s="26" t="s">
        <v>5</v>
      </c>
      <c r="B50" s="178">
        <v>84698</v>
      </c>
      <c r="C50" s="27">
        <v>59000</v>
      </c>
      <c r="D50" s="171">
        <f t="shared" si="1"/>
        <v>-0.30340740041087155</v>
      </c>
      <c r="E50" s="27">
        <v>43000</v>
      </c>
      <c r="F50" s="171">
        <f t="shared" si="2"/>
        <v>-0.4923138680960589</v>
      </c>
      <c r="G50" s="27">
        <v>27000</v>
      </c>
      <c r="H50" s="171">
        <f t="shared" si="3"/>
        <v>-0.6812203357812463</v>
      </c>
      <c r="I50" s="27">
        <v>27000</v>
      </c>
      <c r="J50" s="23">
        <f t="shared" si="4"/>
        <v>-0.6812203357812463</v>
      </c>
      <c r="K50" s="165">
        <f t="shared" si="6"/>
        <v>156000</v>
      </c>
      <c r="L50" s="14">
        <f t="shared" si="5"/>
        <v>-0.5395404850173557</v>
      </c>
    </row>
    <row r="51" spans="1:12" ht="12.75">
      <c r="A51" s="26" t="s">
        <v>6</v>
      </c>
      <c r="B51" s="178">
        <v>127991</v>
      </c>
      <c r="C51" s="27">
        <v>93000</v>
      </c>
      <c r="D51" s="171">
        <f t="shared" si="1"/>
        <v>-0.27338640998195185</v>
      </c>
      <c r="E51" s="27">
        <v>64000</v>
      </c>
      <c r="F51" s="171">
        <f t="shared" si="2"/>
        <v>-0.4999648412779023</v>
      </c>
      <c r="G51" s="27">
        <v>42000</v>
      </c>
      <c r="H51" s="171">
        <f t="shared" si="3"/>
        <v>-0.6718519270886234</v>
      </c>
      <c r="I51" s="27">
        <v>42000</v>
      </c>
      <c r="J51" s="23">
        <f t="shared" si="4"/>
        <v>-0.6718519270886234</v>
      </c>
      <c r="K51" s="165">
        <f t="shared" si="6"/>
        <v>241000</v>
      </c>
      <c r="L51" s="14">
        <f t="shared" si="5"/>
        <v>-0.5292637763592752</v>
      </c>
    </row>
    <row r="52" spans="1:12" ht="12.75">
      <c r="A52" s="26"/>
      <c r="B52" s="27"/>
      <c r="C52" s="27"/>
      <c r="D52" s="171"/>
      <c r="E52" s="27"/>
      <c r="F52" s="171"/>
      <c r="G52" s="27"/>
      <c r="H52" s="171"/>
      <c r="I52" s="27"/>
      <c r="J52" s="23"/>
      <c r="K52" s="165"/>
      <c r="L52" s="14"/>
    </row>
    <row r="53" spans="1:12" ht="12.75">
      <c r="A53" s="52" t="s">
        <v>157</v>
      </c>
      <c r="B53" s="175">
        <f>SUM(B54:B59)</f>
        <v>0</v>
      </c>
      <c r="C53" s="28">
        <f aca="true" t="shared" si="12" ref="C53:K53">SUM(C54:C59)</f>
        <v>200000</v>
      </c>
      <c r="D53" s="171"/>
      <c r="E53" s="28">
        <f t="shared" si="12"/>
        <v>200000</v>
      </c>
      <c r="F53" s="171"/>
      <c r="G53" s="28">
        <f t="shared" si="12"/>
        <v>200000</v>
      </c>
      <c r="H53" s="171"/>
      <c r="I53" s="28">
        <f t="shared" si="12"/>
        <v>200000</v>
      </c>
      <c r="J53" s="23"/>
      <c r="K53" s="28">
        <f t="shared" si="12"/>
        <v>800000</v>
      </c>
      <c r="L53" s="14"/>
    </row>
    <row r="54" spans="1:12" ht="12.75">
      <c r="A54" s="26" t="s">
        <v>1</v>
      </c>
      <c r="B54" s="178">
        <v>0</v>
      </c>
      <c r="C54" s="27">
        <v>114000</v>
      </c>
      <c r="D54" s="171"/>
      <c r="E54" s="27">
        <v>114000</v>
      </c>
      <c r="F54" s="171"/>
      <c r="G54" s="27">
        <v>114000</v>
      </c>
      <c r="H54" s="171"/>
      <c r="I54" s="27">
        <v>114000</v>
      </c>
      <c r="J54" s="23"/>
      <c r="K54" s="165">
        <f t="shared" si="6"/>
        <v>456000</v>
      </c>
      <c r="L54" s="14"/>
    </row>
    <row r="55" spans="1:12" ht="12.75">
      <c r="A55" s="26" t="s">
        <v>2</v>
      </c>
      <c r="B55" s="178">
        <v>0</v>
      </c>
      <c r="C55" s="27">
        <v>21000</v>
      </c>
      <c r="D55" s="171"/>
      <c r="E55" s="27">
        <v>21000</v>
      </c>
      <c r="F55" s="171"/>
      <c r="G55" s="27">
        <v>21000</v>
      </c>
      <c r="H55" s="171"/>
      <c r="I55" s="27">
        <v>21000</v>
      </c>
      <c r="J55" s="23"/>
      <c r="K55" s="165">
        <f t="shared" si="6"/>
        <v>84000</v>
      </c>
      <c r="L55" s="14"/>
    </row>
    <row r="56" spans="1:12" ht="12.75">
      <c r="A56" s="26" t="s">
        <v>3</v>
      </c>
      <c r="B56" s="178">
        <v>0</v>
      </c>
      <c r="C56" s="27">
        <v>20000</v>
      </c>
      <c r="D56" s="171"/>
      <c r="E56" s="27">
        <v>20000</v>
      </c>
      <c r="F56" s="171"/>
      <c r="G56" s="27">
        <v>20000</v>
      </c>
      <c r="H56" s="171"/>
      <c r="I56" s="27">
        <v>20000</v>
      </c>
      <c r="J56" s="23"/>
      <c r="K56" s="165">
        <f t="shared" si="6"/>
        <v>80000</v>
      </c>
      <c r="L56" s="14"/>
    </row>
    <row r="57" spans="1:12" ht="12.75">
      <c r="A57" s="26" t="s">
        <v>4</v>
      </c>
      <c r="B57" s="178">
        <v>0</v>
      </c>
      <c r="C57" s="27">
        <v>23000</v>
      </c>
      <c r="D57" s="171"/>
      <c r="E57" s="27">
        <v>23000</v>
      </c>
      <c r="F57" s="171"/>
      <c r="G57" s="27">
        <v>23000</v>
      </c>
      <c r="H57" s="171"/>
      <c r="I57" s="27">
        <v>23000</v>
      </c>
      <c r="J57" s="23"/>
      <c r="K57" s="165">
        <f t="shared" si="6"/>
        <v>92000</v>
      </c>
      <c r="L57" s="14"/>
    </row>
    <row r="58" spans="1:12" ht="12.75">
      <c r="A58" s="26" t="s">
        <v>5</v>
      </c>
      <c r="B58" s="178">
        <v>0</v>
      </c>
      <c r="C58" s="27">
        <v>9000</v>
      </c>
      <c r="D58" s="171"/>
      <c r="E58" s="27">
        <v>9000</v>
      </c>
      <c r="F58" s="171"/>
      <c r="G58" s="27">
        <v>9000</v>
      </c>
      <c r="H58" s="171"/>
      <c r="I58" s="27">
        <v>9000</v>
      </c>
      <c r="J58" s="23"/>
      <c r="K58" s="165">
        <f t="shared" si="6"/>
        <v>36000</v>
      </c>
      <c r="L58" s="14"/>
    </row>
    <row r="59" spans="1:12" ht="12.75">
      <c r="A59" s="26" t="s">
        <v>6</v>
      </c>
      <c r="B59" s="178">
        <v>0</v>
      </c>
      <c r="C59" s="27">
        <v>13000</v>
      </c>
      <c r="D59" s="171"/>
      <c r="E59" s="27">
        <v>13000</v>
      </c>
      <c r="F59" s="171"/>
      <c r="G59" s="27">
        <v>13000</v>
      </c>
      <c r="H59" s="171"/>
      <c r="I59" s="27">
        <v>13000</v>
      </c>
      <c r="J59" s="23"/>
      <c r="K59" s="165">
        <f t="shared" si="6"/>
        <v>52000</v>
      </c>
      <c r="L59" s="14"/>
    </row>
    <row r="60" spans="1:12" ht="12.75">
      <c r="A60" s="26"/>
      <c r="B60" s="27"/>
      <c r="C60" s="27"/>
      <c r="D60" s="171"/>
      <c r="E60" s="27"/>
      <c r="F60" s="171"/>
      <c r="G60" s="27"/>
      <c r="H60" s="171"/>
      <c r="I60" s="27"/>
      <c r="J60" s="23"/>
      <c r="K60" s="165"/>
      <c r="L60" s="14"/>
    </row>
    <row r="61" spans="1:12" ht="12.75">
      <c r="A61" s="52" t="s">
        <v>171</v>
      </c>
      <c r="B61" s="175">
        <f>SUM(B5+B13+B21+B29+B37+B45+B53)</f>
        <v>26276168</v>
      </c>
      <c r="C61" s="28">
        <f aca="true" t="shared" si="13" ref="C61:K61">SUM(C5+C13+C21+C29+C37+C45+C53)</f>
        <v>13310000</v>
      </c>
      <c r="D61" s="171">
        <f t="shared" si="1"/>
        <v>-0.4934573412683311</v>
      </c>
      <c r="E61" s="28">
        <f t="shared" si="13"/>
        <v>8424500</v>
      </c>
      <c r="F61" s="171">
        <f t="shared" si="2"/>
        <v>-0.6793862788516194</v>
      </c>
      <c r="G61" s="28">
        <f t="shared" si="13"/>
        <v>7888500</v>
      </c>
      <c r="H61" s="171">
        <f t="shared" si="3"/>
        <v>-0.6997849914797317</v>
      </c>
      <c r="I61" s="28">
        <f t="shared" si="13"/>
        <v>6835500</v>
      </c>
      <c r="J61" s="23">
        <f t="shared" si="4"/>
        <v>-0.7398593280420493</v>
      </c>
      <c r="K61" s="28">
        <f t="shared" si="13"/>
        <v>36458500</v>
      </c>
      <c r="L61" s="23">
        <f t="shared" si="5"/>
        <v>-0.6531219849104328</v>
      </c>
    </row>
    <row r="62" spans="1:12" ht="12.75">
      <c r="A62" s="26" t="s">
        <v>1</v>
      </c>
      <c r="B62" s="179">
        <f>SUM(B6+B14+B22+B30+B38+B46+B54)</f>
        <v>14747156</v>
      </c>
      <c r="C62" s="166">
        <f aca="true" t="shared" si="14" ref="C62:K62">SUM(C6+C14+C22+C30+C38+C46+C54)</f>
        <v>7570000</v>
      </c>
      <c r="D62" s="171">
        <f t="shared" si="1"/>
        <v>-0.486680686092966</v>
      </c>
      <c r="E62" s="166">
        <f t="shared" si="14"/>
        <v>4977000</v>
      </c>
      <c r="F62" s="171">
        <f t="shared" si="2"/>
        <v>-0.6625111987694441</v>
      </c>
      <c r="G62" s="166">
        <f t="shared" si="14"/>
        <v>4383000</v>
      </c>
      <c r="H62" s="171">
        <f t="shared" si="3"/>
        <v>-0.7027901515383712</v>
      </c>
      <c r="I62" s="166">
        <f t="shared" si="14"/>
        <v>3838000</v>
      </c>
      <c r="J62" s="23">
        <f t="shared" si="4"/>
        <v>-0.7397464297522858</v>
      </c>
      <c r="K62" s="166">
        <f t="shared" si="14"/>
        <v>20768000</v>
      </c>
      <c r="L62" s="23">
        <f t="shared" si="5"/>
        <v>-0.6479321165382668</v>
      </c>
    </row>
    <row r="63" spans="1:12" ht="12.75">
      <c r="A63" s="26" t="s">
        <v>2</v>
      </c>
      <c r="B63" s="179">
        <f aca="true" t="shared" si="15" ref="B63:K67">SUM(B7+B15+B23+B31+B39+B47+B55)</f>
        <v>2722563</v>
      </c>
      <c r="C63" s="166">
        <f t="shared" si="15"/>
        <v>1384500</v>
      </c>
      <c r="D63" s="171">
        <f t="shared" si="1"/>
        <v>-0.4914718226906044</v>
      </c>
      <c r="E63" s="166">
        <f t="shared" si="15"/>
        <v>832500</v>
      </c>
      <c r="F63" s="171">
        <f t="shared" si="2"/>
        <v>-0.6942219518887166</v>
      </c>
      <c r="G63" s="166">
        <f t="shared" si="15"/>
        <v>646500</v>
      </c>
      <c r="H63" s="171">
        <f t="shared" si="3"/>
        <v>-0.7625399302054718</v>
      </c>
      <c r="I63" s="166">
        <f t="shared" si="15"/>
        <v>932500</v>
      </c>
      <c r="J63" s="23">
        <f t="shared" si="4"/>
        <v>-0.6574918560194933</v>
      </c>
      <c r="K63" s="166">
        <f t="shared" si="15"/>
        <v>3796000</v>
      </c>
      <c r="L63" s="23">
        <f t="shared" si="5"/>
        <v>-0.6514313902010715</v>
      </c>
    </row>
    <row r="64" spans="1:12" ht="12.75">
      <c r="A64" s="26" t="s">
        <v>3</v>
      </c>
      <c r="B64" s="179">
        <f t="shared" si="15"/>
        <v>2569686</v>
      </c>
      <c r="C64" s="166">
        <f t="shared" si="15"/>
        <v>1322000</v>
      </c>
      <c r="D64" s="171">
        <f t="shared" si="1"/>
        <v>-0.48554025666949197</v>
      </c>
      <c r="E64" s="166">
        <f t="shared" si="15"/>
        <v>793000</v>
      </c>
      <c r="F64" s="171">
        <f t="shared" si="2"/>
        <v>-0.6914019845226226</v>
      </c>
      <c r="G64" s="166">
        <f t="shared" si="15"/>
        <v>929500</v>
      </c>
      <c r="H64" s="171">
        <f t="shared" si="3"/>
        <v>-0.6382826539896314</v>
      </c>
      <c r="I64" s="166">
        <f t="shared" si="15"/>
        <v>597500</v>
      </c>
      <c r="J64" s="23">
        <f t="shared" si="4"/>
        <v>-0.7674813187292144</v>
      </c>
      <c r="K64" s="166">
        <f t="shared" si="15"/>
        <v>3642000</v>
      </c>
      <c r="L64" s="23">
        <f t="shared" si="5"/>
        <v>-0.64567655347774</v>
      </c>
    </row>
    <row r="65" spans="1:12" ht="12.75">
      <c r="A65" s="26" t="s">
        <v>4</v>
      </c>
      <c r="B65" s="179">
        <f t="shared" si="15"/>
        <v>2994036</v>
      </c>
      <c r="C65" s="166">
        <f t="shared" si="15"/>
        <v>1530500</v>
      </c>
      <c r="D65" s="171">
        <f t="shared" si="1"/>
        <v>-0.48881710173157567</v>
      </c>
      <c r="E65" s="166">
        <f t="shared" si="15"/>
        <v>923500</v>
      </c>
      <c r="F65" s="171">
        <f t="shared" si="2"/>
        <v>-0.6915534749749168</v>
      </c>
      <c r="G65" s="166">
        <f t="shared" si="15"/>
        <v>1057500</v>
      </c>
      <c r="H65" s="171">
        <f t="shared" si="3"/>
        <v>-0.6467978340941792</v>
      </c>
      <c r="I65" s="166">
        <f t="shared" si="15"/>
        <v>691500</v>
      </c>
      <c r="J65" s="23">
        <f t="shared" si="4"/>
        <v>-0.7690408532161938</v>
      </c>
      <c r="K65" s="166">
        <f t="shared" si="15"/>
        <v>4203000</v>
      </c>
      <c r="L65" s="23">
        <f t="shared" si="5"/>
        <v>-0.6490523160042163</v>
      </c>
    </row>
    <row r="66" spans="1:12" ht="12.75">
      <c r="A66" s="26" t="s">
        <v>5</v>
      </c>
      <c r="B66" s="179">
        <f t="shared" si="15"/>
        <v>1190220</v>
      </c>
      <c r="C66" s="166">
        <f t="shared" si="15"/>
        <v>596500</v>
      </c>
      <c r="D66" s="171">
        <f t="shared" si="1"/>
        <v>-0.49883214867839554</v>
      </c>
      <c r="E66" s="166">
        <f t="shared" si="15"/>
        <v>357500</v>
      </c>
      <c r="F66" s="171">
        <f t="shared" si="2"/>
        <v>-0.6996353615298012</v>
      </c>
      <c r="G66" s="166">
        <f t="shared" si="15"/>
        <v>272500</v>
      </c>
      <c r="H66" s="171">
        <f t="shared" si="3"/>
        <v>-0.7710507301171212</v>
      </c>
      <c r="I66" s="166">
        <f t="shared" si="15"/>
        <v>370500</v>
      </c>
      <c r="J66" s="23">
        <f t="shared" si="4"/>
        <v>-0.6887130110399757</v>
      </c>
      <c r="K66" s="166">
        <f t="shared" si="15"/>
        <v>1597000</v>
      </c>
      <c r="L66" s="23">
        <f t="shared" si="5"/>
        <v>-0.6645578128413234</v>
      </c>
    </row>
    <row r="67" spans="1:12" ht="12.75">
      <c r="A67" s="26" t="s">
        <v>6</v>
      </c>
      <c r="B67" s="179">
        <f t="shared" si="15"/>
        <v>2052507</v>
      </c>
      <c r="C67" s="166">
        <f t="shared" si="15"/>
        <v>906500</v>
      </c>
      <c r="D67" s="171">
        <f t="shared" si="1"/>
        <v>-0.5583449898100226</v>
      </c>
      <c r="E67" s="166">
        <f t="shared" si="15"/>
        <v>541000</v>
      </c>
      <c r="F67" s="171">
        <f t="shared" si="2"/>
        <v>-0.7364199001513758</v>
      </c>
      <c r="G67" s="166">
        <f t="shared" si="15"/>
        <v>599500</v>
      </c>
      <c r="H67" s="171">
        <f t="shared" si="3"/>
        <v>-0.7079181703156189</v>
      </c>
      <c r="I67" s="166">
        <f t="shared" si="15"/>
        <v>405500</v>
      </c>
      <c r="J67" s="23">
        <f t="shared" si="4"/>
        <v>-0.8024367273777873</v>
      </c>
      <c r="K67" s="166">
        <f t="shared" si="15"/>
        <v>2452500</v>
      </c>
      <c r="L67" s="23">
        <f t="shared" si="5"/>
        <v>-0.7012799469137012</v>
      </c>
    </row>
    <row r="68" spans="4:12" ht="12.75">
      <c r="D68" s="202"/>
      <c r="E68" s="15"/>
      <c r="F68" s="202"/>
      <c r="G68" s="15"/>
      <c r="H68" s="202"/>
      <c r="I68" s="15"/>
      <c r="J68" s="71"/>
      <c r="K68" s="15"/>
      <c r="L68" s="71"/>
    </row>
    <row r="69" spans="4:12" ht="12.75">
      <c r="D69" s="202"/>
      <c r="E69" s="15"/>
      <c r="F69" s="202"/>
      <c r="G69" s="15"/>
      <c r="H69" s="202"/>
      <c r="I69" s="15"/>
      <c r="J69" s="71"/>
      <c r="K69" s="15"/>
      <c r="L69" s="71"/>
    </row>
    <row r="70" spans="4:12" ht="12.75">
      <c r="D70" s="202"/>
      <c r="E70" s="15"/>
      <c r="F70" s="202"/>
      <c r="G70" s="15"/>
      <c r="H70" s="202"/>
      <c r="I70" s="15"/>
      <c r="J70" s="71"/>
      <c r="K70" s="15"/>
      <c r="L70" s="71"/>
    </row>
    <row r="71" spans="4:12" ht="12.75">
      <c r="D71" s="202"/>
      <c r="E71" s="15"/>
      <c r="F71" s="202"/>
      <c r="G71" s="15"/>
      <c r="H71" s="202"/>
      <c r="I71" s="15"/>
      <c r="J71" s="71"/>
      <c r="K71" s="15"/>
      <c r="L71" s="71"/>
    </row>
    <row r="72" spans="4:12" ht="12.75">
      <c r="D72" s="202"/>
      <c r="E72" s="15"/>
      <c r="F72" s="202"/>
      <c r="G72" s="15"/>
      <c r="H72" s="202"/>
      <c r="I72" s="15"/>
      <c r="J72" s="71"/>
      <c r="K72" s="15"/>
      <c r="L72" s="71"/>
    </row>
    <row r="73" spans="4:12" ht="12.75">
      <c r="D73" s="202"/>
      <c r="E73" s="15"/>
      <c r="F73" s="202"/>
      <c r="G73" s="15"/>
      <c r="H73" s="202"/>
      <c r="I73" s="15"/>
      <c r="J73" s="71"/>
      <c r="K73" s="15"/>
      <c r="L73" s="71"/>
    </row>
    <row r="74" spans="1:12" ht="15.75">
      <c r="A74" t="s">
        <v>190</v>
      </c>
      <c r="B74" s="209" t="s">
        <v>194</v>
      </c>
      <c r="C74" s="210"/>
      <c r="D74" s="210"/>
      <c r="E74" s="210"/>
      <c r="F74" s="210"/>
      <c r="G74" s="210"/>
      <c r="H74" s="210"/>
      <c r="I74" s="210"/>
      <c r="J74" s="210"/>
      <c r="K74" s="210"/>
      <c r="L74" s="210"/>
    </row>
    <row r="75" spans="4:12" ht="12.75">
      <c r="D75" s="202"/>
      <c r="E75" s="15"/>
      <c r="F75" s="202"/>
      <c r="G75" s="15"/>
      <c r="H75" s="202"/>
      <c r="I75" s="15"/>
      <c r="J75" s="71"/>
      <c r="K75" s="15"/>
      <c r="L75" s="71"/>
    </row>
    <row r="76" spans="1:12" ht="15.75">
      <c r="A76" s="86"/>
      <c r="D76" s="202"/>
      <c r="E76" s="15"/>
      <c r="F76" s="202"/>
      <c r="G76" s="15"/>
      <c r="H76" s="202"/>
      <c r="I76" s="15"/>
      <c r="J76" s="71"/>
      <c r="K76" s="15"/>
      <c r="L76" s="71"/>
    </row>
    <row r="77" spans="3:12" ht="12.75">
      <c r="C77" s="25" t="s">
        <v>172</v>
      </c>
      <c r="D77" s="171"/>
      <c r="E77" s="25" t="s">
        <v>173</v>
      </c>
      <c r="F77" s="171"/>
      <c r="G77" s="25" t="s">
        <v>174</v>
      </c>
      <c r="H77" s="171"/>
      <c r="I77" s="25" t="s">
        <v>175</v>
      </c>
      <c r="J77" s="23"/>
      <c r="K77" s="25" t="s">
        <v>7</v>
      </c>
      <c r="L77" s="23"/>
    </row>
    <row r="78" spans="1:12" ht="12.75">
      <c r="A78" s="52" t="s">
        <v>177</v>
      </c>
      <c r="B78" s="175"/>
      <c r="C78" s="28">
        <f>SUM(C79:C84)</f>
        <v>2374076</v>
      </c>
      <c r="D78" s="171"/>
      <c r="E78" s="28">
        <f>SUM(E79:E84)</f>
        <v>2374076</v>
      </c>
      <c r="F78" s="171"/>
      <c r="G78" s="28">
        <f>SUM(G79:G84)</f>
        <v>2374076</v>
      </c>
      <c r="H78" s="171"/>
      <c r="I78" s="28">
        <f>SUM(I79:I84)</f>
        <v>2374076</v>
      </c>
      <c r="J78" s="23"/>
      <c r="K78" s="28">
        <f>SUM(K79:K84)</f>
        <v>9496304</v>
      </c>
      <c r="L78" s="23"/>
    </row>
    <row r="79" spans="1:12" ht="12.75">
      <c r="A79" s="26" t="s">
        <v>1</v>
      </c>
      <c r="B79" s="178"/>
      <c r="C79" s="27">
        <v>928833</v>
      </c>
      <c r="D79" s="171"/>
      <c r="E79" s="27">
        <v>928833</v>
      </c>
      <c r="F79" s="171"/>
      <c r="G79" s="27">
        <v>928833</v>
      </c>
      <c r="H79" s="171"/>
      <c r="I79" s="27">
        <v>928833</v>
      </c>
      <c r="J79" s="23"/>
      <c r="K79" s="165">
        <f>SUM(C79+E79+G79+I79)</f>
        <v>3715332</v>
      </c>
      <c r="L79" s="23"/>
    </row>
    <row r="80" spans="1:12" ht="12.75">
      <c r="A80" s="26" t="s">
        <v>2</v>
      </c>
      <c r="B80" s="178"/>
      <c r="C80" s="27">
        <v>344537</v>
      </c>
      <c r="D80" s="171"/>
      <c r="E80" s="27">
        <v>344537</v>
      </c>
      <c r="F80" s="171"/>
      <c r="G80" s="27">
        <v>344537</v>
      </c>
      <c r="H80" s="171"/>
      <c r="I80" s="27">
        <v>344537</v>
      </c>
      <c r="J80" s="23"/>
      <c r="K80" s="165">
        <f>SUM(C80+E80+G80+I80)</f>
        <v>1378148</v>
      </c>
      <c r="L80" s="23"/>
    </row>
    <row r="81" spans="1:12" ht="12.75">
      <c r="A81" s="26" t="s">
        <v>3</v>
      </c>
      <c r="B81" s="178"/>
      <c r="C81" s="27">
        <v>163186</v>
      </c>
      <c r="D81" s="171"/>
      <c r="E81" s="27">
        <v>163186</v>
      </c>
      <c r="F81" s="171"/>
      <c r="G81" s="27">
        <v>163186</v>
      </c>
      <c r="H81" s="171"/>
      <c r="I81" s="27">
        <v>163186</v>
      </c>
      <c r="J81" s="23"/>
      <c r="K81" s="165">
        <f>SUM(C81+E81+G81+I81)</f>
        <v>652744</v>
      </c>
      <c r="L81" s="23"/>
    </row>
    <row r="82" spans="1:12" ht="12.75">
      <c r="A82" s="26" t="s">
        <v>4</v>
      </c>
      <c r="B82" s="178"/>
      <c r="C82" s="27">
        <v>0</v>
      </c>
      <c r="D82" s="171"/>
      <c r="E82" s="27">
        <v>0</v>
      </c>
      <c r="F82" s="171"/>
      <c r="G82" s="27">
        <v>0</v>
      </c>
      <c r="H82" s="171"/>
      <c r="I82" s="27">
        <v>0</v>
      </c>
      <c r="J82" s="23"/>
      <c r="K82" s="165">
        <f>SUM(C82+E82+G82+I82)</f>
        <v>0</v>
      </c>
      <c r="L82" s="23"/>
    </row>
    <row r="83" spans="1:12" ht="12.75">
      <c r="A83" s="26" t="s">
        <v>5</v>
      </c>
      <c r="B83" s="178"/>
      <c r="C83" s="27">
        <v>435730</v>
      </c>
      <c r="D83" s="171"/>
      <c r="E83" s="27">
        <v>435730</v>
      </c>
      <c r="F83" s="171"/>
      <c r="G83" s="27">
        <v>435730</v>
      </c>
      <c r="H83" s="171"/>
      <c r="I83" s="27">
        <v>435730</v>
      </c>
      <c r="J83" s="23"/>
      <c r="K83" s="165">
        <f>SUM(C83+E83+G83+I83)</f>
        <v>1742920</v>
      </c>
      <c r="L83" s="23"/>
    </row>
    <row r="84" spans="1:12" ht="12.75">
      <c r="A84" s="26" t="s">
        <v>6</v>
      </c>
      <c r="B84" s="178"/>
      <c r="C84" s="27">
        <v>501790</v>
      </c>
      <c r="D84" s="171"/>
      <c r="E84" s="27">
        <v>501790</v>
      </c>
      <c r="F84" s="171"/>
      <c r="G84" s="27">
        <v>501790</v>
      </c>
      <c r="H84" s="171"/>
      <c r="I84" s="27">
        <v>501790</v>
      </c>
      <c r="J84" s="23"/>
      <c r="K84" s="165">
        <f>SUM(C84+E84+G84+I84)</f>
        <v>2007160</v>
      </c>
      <c r="L84" s="23"/>
    </row>
    <row r="85" spans="1:12" ht="12.75">
      <c r="A85" s="26"/>
      <c r="B85" s="27"/>
      <c r="C85" s="27"/>
      <c r="D85" s="171"/>
      <c r="E85" s="27"/>
      <c r="F85" s="171"/>
      <c r="G85" s="27"/>
      <c r="H85" s="171"/>
      <c r="I85" s="27"/>
      <c r="J85" s="23"/>
      <c r="K85" s="165"/>
      <c r="L85" s="23"/>
    </row>
    <row r="86" spans="1:12" ht="12.75">
      <c r="A86" s="52" t="s">
        <v>176</v>
      </c>
      <c r="B86" s="175"/>
      <c r="C86" s="28">
        <f>SUM(C87:C92)</f>
        <v>540479</v>
      </c>
      <c r="D86" s="171"/>
      <c r="E86" s="28">
        <f aca="true" t="shared" si="16" ref="D86:J86">SUM(E87:E92)</f>
        <v>540479</v>
      </c>
      <c r="F86" s="171"/>
      <c r="G86" s="28">
        <f t="shared" si="16"/>
        <v>540479</v>
      </c>
      <c r="H86" s="171"/>
      <c r="I86" s="28">
        <f t="shared" si="16"/>
        <v>540479</v>
      </c>
      <c r="J86" s="23"/>
      <c r="K86" s="28">
        <f>SUM(K87:K92)</f>
        <v>2161916</v>
      </c>
      <c r="L86" s="23"/>
    </row>
    <row r="87" spans="1:12" ht="12.75">
      <c r="A87" s="26" t="s">
        <v>1</v>
      </c>
      <c r="B87" s="178"/>
      <c r="C87" s="27">
        <v>353753</v>
      </c>
      <c r="D87" s="171"/>
      <c r="E87" s="27">
        <v>353753</v>
      </c>
      <c r="F87" s="171"/>
      <c r="G87" s="27">
        <v>353753</v>
      </c>
      <c r="H87" s="171"/>
      <c r="I87" s="27">
        <v>353753</v>
      </c>
      <c r="J87" s="23"/>
      <c r="K87" s="165">
        <f aca="true" t="shared" si="17" ref="K87:K92">SUM(C87+E87+G87+I87)</f>
        <v>1415012</v>
      </c>
      <c r="L87" s="23"/>
    </row>
    <row r="88" spans="1:12" ht="12.75">
      <c r="A88" s="26" t="s">
        <v>2</v>
      </c>
      <c r="B88" s="178"/>
      <c r="C88" s="27">
        <v>61711</v>
      </c>
      <c r="D88" s="171"/>
      <c r="E88" s="27">
        <v>61711</v>
      </c>
      <c r="F88" s="171"/>
      <c r="G88" s="27">
        <v>61711</v>
      </c>
      <c r="H88" s="171"/>
      <c r="I88" s="27">
        <v>61711</v>
      </c>
      <c r="J88" s="23"/>
      <c r="K88" s="165">
        <f t="shared" si="17"/>
        <v>246844</v>
      </c>
      <c r="L88" s="23"/>
    </row>
    <row r="89" spans="1:12" ht="12.75">
      <c r="A89" s="26" t="s">
        <v>3</v>
      </c>
      <c r="B89" s="178"/>
      <c r="C89" s="27">
        <v>57987</v>
      </c>
      <c r="D89" s="171"/>
      <c r="E89" s="27">
        <v>57987</v>
      </c>
      <c r="F89" s="171"/>
      <c r="G89" s="27">
        <v>57987</v>
      </c>
      <c r="H89" s="171"/>
      <c r="I89" s="27">
        <v>57987</v>
      </c>
      <c r="J89" s="23"/>
      <c r="K89" s="165">
        <f t="shared" si="17"/>
        <v>231948</v>
      </c>
      <c r="L89" s="23"/>
    </row>
    <row r="90" spans="1:12" ht="12.75">
      <c r="A90" s="26" t="s">
        <v>4</v>
      </c>
      <c r="B90" s="178"/>
      <c r="C90" s="27">
        <v>0</v>
      </c>
      <c r="D90" s="171"/>
      <c r="E90" s="27">
        <v>0</v>
      </c>
      <c r="F90" s="171"/>
      <c r="G90" s="27">
        <v>0</v>
      </c>
      <c r="H90" s="171"/>
      <c r="I90" s="27">
        <v>0</v>
      </c>
      <c r="J90" s="23"/>
      <c r="K90" s="165">
        <f t="shared" si="17"/>
        <v>0</v>
      </c>
      <c r="L90" s="23"/>
    </row>
    <row r="91" spans="1:12" ht="12.75">
      <c r="A91" s="26" t="s">
        <v>5</v>
      </c>
      <c r="B91" s="178"/>
      <c r="C91" s="27">
        <v>26537</v>
      </c>
      <c r="D91" s="171"/>
      <c r="E91" s="27">
        <v>26537</v>
      </c>
      <c r="F91" s="171"/>
      <c r="G91" s="27">
        <v>26537</v>
      </c>
      <c r="H91" s="171"/>
      <c r="I91" s="27">
        <v>26537</v>
      </c>
      <c r="J91" s="23"/>
      <c r="K91" s="165">
        <f t="shared" si="17"/>
        <v>106148</v>
      </c>
      <c r="L91" s="23"/>
    </row>
    <row r="92" spans="1:12" ht="12.75">
      <c r="A92" s="26" t="s">
        <v>6</v>
      </c>
      <c r="B92" s="178"/>
      <c r="C92" s="27">
        <v>40491</v>
      </c>
      <c r="D92" s="171"/>
      <c r="E92" s="27">
        <v>40491</v>
      </c>
      <c r="F92" s="171"/>
      <c r="G92" s="27">
        <v>40491</v>
      </c>
      <c r="H92" s="171"/>
      <c r="I92" s="27">
        <v>40491</v>
      </c>
      <c r="J92" s="23"/>
      <c r="K92" s="165">
        <f t="shared" si="17"/>
        <v>161964</v>
      </c>
      <c r="L92" s="23"/>
    </row>
    <row r="93" spans="4:12" ht="12.75">
      <c r="D93" s="171"/>
      <c r="F93" s="171"/>
      <c r="H93" s="171"/>
      <c r="J93" s="23"/>
      <c r="L93" s="23"/>
    </row>
    <row r="94" spans="1:12" ht="12.75">
      <c r="A94" s="52" t="s">
        <v>178</v>
      </c>
      <c r="B94" s="175"/>
      <c r="C94" s="28">
        <f>SUM(C78+C86)</f>
        <v>2914555</v>
      </c>
      <c r="D94" s="171"/>
      <c r="E94" s="28">
        <f aca="true" t="shared" si="18" ref="D94:K94">SUM(E78+E86)</f>
        <v>2914555</v>
      </c>
      <c r="F94" s="171"/>
      <c r="G94" s="28">
        <f t="shared" si="18"/>
        <v>2914555</v>
      </c>
      <c r="H94" s="171"/>
      <c r="I94" s="28">
        <f t="shared" si="18"/>
        <v>2914555</v>
      </c>
      <c r="J94" s="23"/>
      <c r="K94" s="28">
        <f t="shared" si="18"/>
        <v>11658220</v>
      </c>
      <c r="L94" s="23"/>
    </row>
    <row r="95" spans="1:12" ht="12.75">
      <c r="A95" s="26" t="s">
        <v>1</v>
      </c>
      <c r="B95" s="178"/>
      <c r="C95" s="28">
        <f aca="true" t="shared" si="19" ref="C95:C100">SUM(C79+C87)</f>
        <v>1282586</v>
      </c>
      <c r="D95" s="171"/>
      <c r="E95" s="28">
        <f>SUM(E79+E87)</f>
        <v>1282586</v>
      </c>
      <c r="F95" s="171"/>
      <c r="G95" s="28">
        <f>SUM(G79+G87)</f>
        <v>1282586</v>
      </c>
      <c r="H95" s="171"/>
      <c r="I95" s="28">
        <f>SUM(I79+I87)</f>
        <v>1282586</v>
      </c>
      <c r="J95" s="23"/>
      <c r="K95" s="28">
        <f>SUM(K79+K87)</f>
        <v>5130344</v>
      </c>
      <c r="L95" s="23"/>
    </row>
    <row r="96" spans="1:12" ht="12.75">
      <c r="A96" s="26" t="s">
        <v>2</v>
      </c>
      <c r="B96" s="178"/>
      <c r="C96" s="28">
        <f t="shared" si="19"/>
        <v>406248</v>
      </c>
      <c r="D96" s="171"/>
      <c r="E96" s="28">
        <f>SUM(E80+E88)</f>
        <v>406248</v>
      </c>
      <c r="F96" s="171"/>
      <c r="G96" s="28">
        <f>SUM(G80+G88)</f>
        <v>406248</v>
      </c>
      <c r="H96" s="171"/>
      <c r="I96" s="28">
        <f>SUM(I80+I88)</f>
        <v>406248</v>
      </c>
      <c r="J96" s="23"/>
      <c r="K96" s="28">
        <f>SUM(K80+K88)</f>
        <v>1624992</v>
      </c>
      <c r="L96" s="23"/>
    </row>
    <row r="97" spans="1:12" ht="12.75">
      <c r="A97" s="26" t="s">
        <v>3</v>
      </c>
      <c r="B97" s="178"/>
      <c r="C97" s="28">
        <f t="shared" si="19"/>
        <v>221173</v>
      </c>
      <c r="D97" s="171"/>
      <c r="E97" s="28">
        <f>SUM(E81+E89)</f>
        <v>221173</v>
      </c>
      <c r="F97" s="171"/>
      <c r="G97" s="28">
        <f>SUM(G81+G89)</f>
        <v>221173</v>
      </c>
      <c r="H97" s="171"/>
      <c r="I97" s="28">
        <f>SUM(I81+I89)</f>
        <v>221173</v>
      </c>
      <c r="J97" s="23"/>
      <c r="K97" s="28">
        <f>SUM(K81+K89)</f>
        <v>884692</v>
      </c>
      <c r="L97" s="23"/>
    </row>
    <row r="98" spans="1:12" ht="12.75">
      <c r="A98" s="26" t="s">
        <v>4</v>
      </c>
      <c r="B98" s="178"/>
      <c r="C98" s="28">
        <f t="shared" si="19"/>
        <v>0</v>
      </c>
      <c r="D98" s="171"/>
      <c r="E98" s="28">
        <f>SUM(E82+E90)</f>
        <v>0</v>
      </c>
      <c r="F98" s="171"/>
      <c r="G98" s="28">
        <f>SUM(G82+G90)</f>
        <v>0</v>
      </c>
      <c r="H98" s="171"/>
      <c r="I98" s="28">
        <f>SUM(I82+I90)</f>
        <v>0</v>
      </c>
      <c r="J98" s="23"/>
      <c r="K98" s="28">
        <f>SUM(K82+K90)</f>
        <v>0</v>
      </c>
      <c r="L98" s="23"/>
    </row>
    <row r="99" spans="1:12" ht="12.75">
      <c r="A99" s="26" t="s">
        <v>5</v>
      </c>
      <c r="B99" s="178"/>
      <c r="C99" s="28">
        <f t="shared" si="19"/>
        <v>462267</v>
      </c>
      <c r="D99" s="171"/>
      <c r="E99" s="28">
        <f>SUM(E83+E91)</f>
        <v>462267</v>
      </c>
      <c r="F99" s="171"/>
      <c r="G99" s="28">
        <f>SUM(G83+G91)</f>
        <v>462267</v>
      </c>
      <c r="H99" s="171"/>
      <c r="I99" s="28">
        <f>SUM(I83+I91)</f>
        <v>462267</v>
      </c>
      <c r="J99" s="23"/>
      <c r="K99" s="28">
        <f>SUM(K83+K91)</f>
        <v>1849068</v>
      </c>
      <c r="L99" s="23"/>
    </row>
    <row r="100" spans="1:12" ht="12.75">
      <c r="A100" s="26" t="s">
        <v>6</v>
      </c>
      <c r="B100" s="178"/>
      <c r="C100" s="28">
        <f t="shared" si="19"/>
        <v>542281</v>
      </c>
      <c r="D100" s="171"/>
      <c r="E100" s="28">
        <f>SUM(E84+E92)</f>
        <v>542281</v>
      </c>
      <c r="F100" s="171"/>
      <c r="G100" s="28">
        <f>SUM(G84+G92)</f>
        <v>542281</v>
      </c>
      <c r="H100" s="171"/>
      <c r="I100" s="28">
        <f>SUM(I84+I92)</f>
        <v>542281</v>
      </c>
      <c r="J100" s="23"/>
      <c r="K100" s="28">
        <f>SUM(K84+K92)</f>
        <v>2169124</v>
      </c>
      <c r="L100" s="23"/>
    </row>
    <row r="101" spans="4:12" ht="12.75">
      <c r="D101" s="176"/>
      <c r="F101" s="176"/>
      <c r="H101" s="176"/>
      <c r="J101" s="177"/>
      <c r="L101" s="177"/>
    </row>
    <row r="102" spans="2:12" ht="12.75">
      <c r="B102" s="25" t="s">
        <v>180</v>
      </c>
      <c r="C102" s="25" t="s">
        <v>172</v>
      </c>
      <c r="D102" s="201" t="s">
        <v>181</v>
      </c>
      <c r="E102" s="25" t="s">
        <v>173</v>
      </c>
      <c r="F102" s="201" t="s">
        <v>181</v>
      </c>
      <c r="G102" s="25" t="s">
        <v>174</v>
      </c>
      <c r="H102" s="201" t="s">
        <v>181</v>
      </c>
      <c r="I102" s="25" t="s">
        <v>175</v>
      </c>
      <c r="J102" s="40" t="s">
        <v>181</v>
      </c>
      <c r="K102" s="25" t="s">
        <v>182</v>
      </c>
      <c r="L102" s="40" t="s">
        <v>183</v>
      </c>
    </row>
    <row r="103" spans="1:12" ht="12.75">
      <c r="A103" s="52" t="s">
        <v>179</v>
      </c>
      <c r="B103" s="175">
        <f>SUM(B104:B109)</f>
        <v>17527680</v>
      </c>
      <c r="C103" s="28">
        <f>SUM(C61-C94)</f>
        <v>10395445</v>
      </c>
      <c r="D103" s="171">
        <f>SUM(C103/B103-1)</f>
        <v>-0.40691266613721844</v>
      </c>
      <c r="E103" s="28">
        <f aca="true" t="shared" si="20" ref="D103:L103">SUM(E61-E94)</f>
        <v>5509945</v>
      </c>
      <c r="F103" s="171">
        <f>SUM(E103/B103-1)</f>
        <v>-0.6856432226056157</v>
      </c>
      <c r="G103" s="28">
        <f t="shared" si="20"/>
        <v>4973945</v>
      </c>
      <c r="H103" s="171">
        <f>SUM(G103/B103-1)</f>
        <v>-0.7162234248913718</v>
      </c>
      <c r="I103" s="28">
        <f t="shared" si="20"/>
        <v>3920945</v>
      </c>
      <c r="J103" s="23">
        <f>SUM(I103/B103-1)</f>
        <v>-0.7762998297549932</v>
      </c>
      <c r="K103" s="28">
        <f t="shared" si="20"/>
        <v>24800280</v>
      </c>
      <c r="L103" s="23">
        <f>SUM((K103/4)/B103-1)</f>
        <v>-0.6462697858472999</v>
      </c>
    </row>
    <row r="104" spans="1:12" ht="12.75">
      <c r="A104" s="26" t="s">
        <v>1</v>
      </c>
      <c r="B104" s="178">
        <v>12702036</v>
      </c>
      <c r="C104" s="28">
        <f>SUM(C62-C95)</f>
        <v>6287414</v>
      </c>
      <c r="D104" s="171">
        <f>SUM(C104/B104-1)</f>
        <v>-0.5050073862174537</v>
      </c>
      <c r="E104" s="28">
        <f>SUM(E62-E95)</f>
        <v>3694414</v>
      </c>
      <c r="F104" s="171">
        <f>SUM(E104/B104-1)</f>
        <v>-0.7091478877874382</v>
      </c>
      <c r="G104" s="28">
        <f>SUM(G62-G95)</f>
        <v>3100414</v>
      </c>
      <c r="H104" s="171">
        <f>SUM(G104/B104-1)</f>
        <v>-0.7559120443368291</v>
      </c>
      <c r="I104" s="28">
        <f>SUM(I62-I95)</f>
        <v>2555414</v>
      </c>
      <c r="J104" s="23">
        <f>SUM(I104/B104-1)</f>
        <v>-0.7988185516085767</v>
      </c>
      <c r="K104" s="28">
        <f>SUM(K62-K95)</f>
        <v>15637656</v>
      </c>
      <c r="L104" s="23">
        <f>SUM((K104/4)/B104-1)</f>
        <v>-0.6922214674875744</v>
      </c>
    </row>
    <row r="105" spans="1:12" ht="12.75">
      <c r="A105" s="26" t="s">
        <v>2</v>
      </c>
      <c r="B105" s="178">
        <v>1891688</v>
      </c>
      <c r="C105" s="28">
        <f>SUM(C63-C96)</f>
        <v>978252</v>
      </c>
      <c r="D105" s="171">
        <f>SUM(C105/B105-1)</f>
        <v>-0.48286821082546383</v>
      </c>
      <c r="E105" s="28">
        <f>SUM(E63-E96)</f>
        <v>426252</v>
      </c>
      <c r="F105" s="171">
        <f>SUM(E105/B105-1)</f>
        <v>-0.7746710874097631</v>
      </c>
      <c r="G105" s="28">
        <f>SUM(G63-G96)</f>
        <v>240252</v>
      </c>
      <c r="H105" s="171">
        <f>SUM(G105/B105-1)</f>
        <v>-0.8729959697370814</v>
      </c>
      <c r="I105" s="28">
        <f>SUM(I63-I96)</f>
        <v>526252</v>
      </c>
      <c r="J105" s="23">
        <f>SUM(I105/B105-1)</f>
        <v>-0.7218082474488394</v>
      </c>
      <c r="K105" s="28">
        <f>SUM(K63-K96)</f>
        <v>2171008</v>
      </c>
      <c r="L105" s="23">
        <f>SUM((K105/4)/B105-1)</f>
        <v>-0.713085878855287</v>
      </c>
    </row>
    <row r="106" spans="1:12" ht="12.75">
      <c r="A106" s="26" t="s">
        <v>3</v>
      </c>
      <c r="B106" s="178">
        <v>101214</v>
      </c>
      <c r="C106" s="28">
        <f>SUM(C64-C97)</f>
        <v>1100827</v>
      </c>
      <c r="D106" s="171">
        <f>SUM(C106/B106-1)</f>
        <v>9.87623253700081</v>
      </c>
      <c r="E106" s="28">
        <f>SUM(E64-E97)</f>
        <v>571827</v>
      </c>
      <c r="F106" s="171">
        <f>SUM(E106/B106-1)</f>
        <v>4.649682850198589</v>
      </c>
      <c r="G106" s="28">
        <f>SUM(G64-G97)</f>
        <v>708327</v>
      </c>
      <c r="H106" s="171">
        <f>SUM(G106/B106-1)</f>
        <v>5.998310510403699</v>
      </c>
      <c r="I106" s="28">
        <f>SUM(I64-I97)</f>
        <v>376327</v>
      </c>
      <c r="J106" s="23">
        <f>SUM(I106/B106-1)</f>
        <v>2.7181318789890727</v>
      </c>
      <c r="K106" s="28">
        <f>SUM(K64-K97)</f>
        <v>2757308</v>
      </c>
      <c r="L106" s="23">
        <f>SUM((K106/4)/B106-1)</f>
        <v>5.810589444148043</v>
      </c>
    </row>
    <row r="107" spans="1:12" ht="12.75">
      <c r="A107" s="26" t="s">
        <v>4</v>
      </c>
      <c r="B107" s="178">
        <v>394666</v>
      </c>
      <c r="C107" s="28">
        <f>SUM(C65-C98)</f>
        <v>1530500</v>
      </c>
      <c r="D107" s="171">
        <f>SUM(C107/B107-1)</f>
        <v>2.8779626316936344</v>
      </c>
      <c r="E107" s="28">
        <f>SUM(E65-E98)</f>
        <v>923500</v>
      </c>
      <c r="F107" s="171">
        <f>SUM(E107/B107-1)</f>
        <v>1.339953276948103</v>
      </c>
      <c r="G107" s="28">
        <f>SUM(G65-G98)</f>
        <v>1057500</v>
      </c>
      <c r="H107" s="171">
        <f>SUM(G107/B107-1)</f>
        <v>1.6794808775014824</v>
      </c>
      <c r="I107" s="28">
        <f>SUM(I65-I98)</f>
        <v>691500</v>
      </c>
      <c r="J107" s="23">
        <f>SUM(I107/B107-1)</f>
        <v>0.752114446139267</v>
      </c>
      <c r="K107" s="28">
        <f>SUM(K65-K98)</f>
        <v>4203000</v>
      </c>
      <c r="L107" s="23">
        <f>SUM((K107/4)/B107-1)</f>
        <v>1.6623778080706217</v>
      </c>
    </row>
    <row r="108" spans="1:12" ht="12.75">
      <c r="A108" s="26" t="s">
        <v>5</v>
      </c>
      <c r="B108" s="178">
        <v>1054772</v>
      </c>
      <c r="C108" s="28">
        <f>SUM(C66-C99)</f>
        <v>134233</v>
      </c>
      <c r="D108" s="171">
        <f>SUM(C108/B108-1)</f>
        <v>-0.8727374257185438</v>
      </c>
      <c r="E108" s="28">
        <f>SUM(E66-E99)</f>
        <v>-104767</v>
      </c>
      <c r="F108" s="171">
        <f>SUM(E108/B108-1)</f>
        <v>-1.0993266791306557</v>
      </c>
      <c r="G108" s="28">
        <f>SUM(G66-G99)</f>
        <v>-189767</v>
      </c>
      <c r="H108" s="171">
        <f>SUM(G108/B108-1)</f>
        <v>-1.1799128152814067</v>
      </c>
      <c r="I108" s="28">
        <f>SUM(I66-I99)</f>
        <v>-91767</v>
      </c>
      <c r="J108" s="23">
        <f>SUM(I108/B108-1)</f>
        <v>-1.0870017406605408</v>
      </c>
      <c r="K108" s="28">
        <f>SUM(K66-K99)</f>
        <v>-252068</v>
      </c>
      <c r="L108" s="23">
        <f>SUM((K108/4)/B108-1)</f>
        <v>-1.0597446651977869</v>
      </c>
    </row>
    <row r="109" spans="1:12" ht="12.75">
      <c r="A109" s="26" t="s">
        <v>6</v>
      </c>
      <c r="B109" s="178">
        <v>1383304</v>
      </c>
      <c r="C109" s="28">
        <f>SUM(C67-C100)</f>
        <v>364219</v>
      </c>
      <c r="D109" s="171">
        <f>SUM(C109/B109-1)</f>
        <v>-0.7367035734733652</v>
      </c>
      <c r="E109" s="28">
        <f>SUM(E67-E100)</f>
        <v>-1281</v>
      </c>
      <c r="F109" s="171">
        <f>SUM(E109/B109-1)</f>
        <v>-1.0009260437329754</v>
      </c>
      <c r="G109" s="28">
        <f>SUM(G67-G100)</f>
        <v>57219</v>
      </c>
      <c r="H109" s="171">
        <f>SUM(G109/B109-1)</f>
        <v>-0.9586359903535304</v>
      </c>
      <c r="I109" s="28">
        <f>SUM(I67-I100)</f>
        <v>-136781</v>
      </c>
      <c r="J109" s="23">
        <f>SUM(I109/B109-1)</f>
        <v>-1.0988799280563057</v>
      </c>
      <c r="K109" s="28">
        <f>SUM(K67-K100)</f>
        <v>283376</v>
      </c>
      <c r="L109" s="23">
        <f>SUM((K109/4)/B109-1)</f>
        <v>-0.9487863839040442</v>
      </c>
    </row>
  </sheetData>
  <mergeCells count="1">
    <mergeCell ref="B74:L74"/>
  </mergeCells>
  <printOptions/>
  <pageMargins left="0.27" right="0.23" top="0.56" bottom="0.22" header="0.34" footer="0.5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14.00390625" style="0" customWidth="1"/>
    <col min="3" max="3" width="14.8515625" style="0" customWidth="1"/>
    <col min="4" max="4" width="15.28125" style="0" customWidth="1"/>
    <col min="5" max="5" width="15.8515625" style="0" customWidth="1"/>
    <col min="6" max="6" width="14.57421875" style="0" customWidth="1"/>
    <col min="7" max="7" width="15.00390625" style="0" customWidth="1"/>
    <col min="8" max="8" width="16.00390625" style="0" customWidth="1"/>
    <col min="9" max="9" width="17.8515625" style="0" customWidth="1"/>
    <col min="10" max="10" width="14.7109375" style="0" customWidth="1"/>
  </cols>
  <sheetData>
    <row r="1" ht="12.75">
      <c r="A1" t="s">
        <v>189</v>
      </c>
    </row>
    <row r="3" spans="1:10" ht="18">
      <c r="A3" s="17" t="s">
        <v>97</v>
      </c>
      <c r="B3" s="17"/>
      <c r="C3" s="17"/>
      <c r="D3" s="17"/>
      <c r="E3" s="17"/>
      <c r="F3" s="18"/>
      <c r="G3" s="18"/>
      <c r="H3" s="18"/>
      <c r="I3" s="18"/>
      <c r="J3" s="18"/>
    </row>
    <row r="4" spans="1:10" ht="18">
      <c r="A4" s="17" t="s">
        <v>191</v>
      </c>
      <c r="B4" s="17"/>
      <c r="C4" s="17"/>
      <c r="D4" s="17"/>
      <c r="E4" s="17"/>
      <c r="F4" s="18"/>
      <c r="G4" s="18"/>
      <c r="H4" s="18"/>
      <c r="I4" s="18"/>
      <c r="J4" s="18"/>
    </row>
    <row r="5" spans="1:10" ht="12.75">
      <c r="A5" s="18" t="s">
        <v>124</v>
      </c>
      <c r="B5" s="18"/>
      <c r="C5" s="18"/>
      <c r="D5" s="18"/>
      <c r="E5" s="18"/>
      <c r="F5" s="18"/>
      <c r="G5" s="18"/>
      <c r="H5" s="18"/>
      <c r="I5" s="18"/>
      <c r="J5" s="18"/>
    </row>
    <row r="8" spans="1:10" ht="12.75">
      <c r="A8" s="25" t="s">
        <v>21</v>
      </c>
      <c r="B8" s="25" t="s">
        <v>98</v>
      </c>
      <c r="C8" s="25" t="s">
        <v>99</v>
      </c>
      <c r="D8" s="25" t="s">
        <v>100</v>
      </c>
      <c r="E8" s="25" t="s">
        <v>101</v>
      </c>
      <c r="F8" s="25" t="s">
        <v>102</v>
      </c>
      <c r="G8" s="25" t="s">
        <v>103</v>
      </c>
      <c r="H8" s="25" t="s">
        <v>104</v>
      </c>
      <c r="I8" s="25" t="s">
        <v>105</v>
      </c>
      <c r="J8" s="25" t="s">
        <v>7</v>
      </c>
    </row>
    <row r="9" spans="1:10" ht="12.75">
      <c r="A9" s="52" t="s">
        <v>1</v>
      </c>
      <c r="B9" s="149">
        <v>387255</v>
      </c>
      <c r="C9" s="149">
        <v>16304502</v>
      </c>
      <c r="D9" s="149">
        <v>25250457</v>
      </c>
      <c r="E9" s="149">
        <v>29941525</v>
      </c>
      <c r="F9" s="149">
        <v>14057208</v>
      </c>
      <c r="G9" s="149">
        <v>9705942</v>
      </c>
      <c r="H9" s="149">
        <v>1409659</v>
      </c>
      <c r="I9" s="149">
        <v>0</v>
      </c>
      <c r="J9" s="150">
        <f>SUM(B9:I9)</f>
        <v>97056548</v>
      </c>
    </row>
    <row r="10" spans="1:10" ht="12.75">
      <c r="A10" s="52" t="s">
        <v>2</v>
      </c>
      <c r="B10" s="149">
        <v>4116</v>
      </c>
      <c r="C10" s="149">
        <v>2033074</v>
      </c>
      <c r="D10" s="149">
        <v>4995903</v>
      </c>
      <c r="E10" s="149">
        <v>6649353</v>
      </c>
      <c r="F10" s="149">
        <v>3434701</v>
      </c>
      <c r="G10" s="149">
        <v>3145702</v>
      </c>
      <c r="H10" s="149">
        <v>186050</v>
      </c>
      <c r="I10" s="149">
        <v>0</v>
      </c>
      <c r="J10" s="150">
        <f>SUM(B10:I10)</f>
        <v>20448899</v>
      </c>
    </row>
    <row r="11" spans="1:10" ht="12.75">
      <c r="A11" s="52" t="s">
        <v>3</v>
      </c>
      <c r="B11" s="149">
        <v>130000</v>
      </c>
      <c r="C11" s="149">
        <v>2067694</v>
      </c>
      <c r="D11" s="149">
        <v>3505335</v>
      </c>
      <c r="E11" s="149">
        <v>2471084</v>
      </c>
      <c r="F11" s="149">
        <v>2043351</v>
      </c>
      <c r="G11" s="149">
        <v>2541072</v>
      </c>
      <c r="H11" s="149">
        <v>152794</v>
      </c>
      <c r="I11" s="149">
        <v>0</v>
      </c>
      <c r="J11" s="150">
        <f>SUM(B11:I11)</f>
        <v>12911330</v>
      </c>
    </row>
    <row r="12" spans="1:10" ht="12.75">
      <c r="A12" s="52" t="s">
        <v>4</v>
      </c>
      <c r="B12" s="149">
        <v>172500</v>
      </c>
      <c r="C12" s="149">
        <v>4010317</v>
      </c>
      <c r="D12" s="149">
        <v>5214549</v>
      </c>
      <c r="E12" s="149">
        <v>3442158</v>
      </c>
      <c r="F12" s="149">
        <v>2581717</v>
      </c>
      <c r="G12" s="149">
        <v>2141163</v>
      </c>
      <c r="H12" s="149">
        <v>207696</v>
      </c>
      <c r="I12" s="149">
        <v>0</v>
      </c>
      <c r="J12" s="150">
        <f>SUM(B12:I12)</f>
        <v>17770100</v>
      </c>
    </row>
    <row r="13" spans="1:10" ht="12.75">
      <c r="A13" s="52" t="s">
        <v>5</v>
      </c>
      <c r="B13" s="149">
        <v>0</v>
      </c>
      <c r="C13" s="149">
        <v>1357006</v>
      </c>
      <c r="D13" s="149">
        <v>904821</v>
      </c>
      <c r="E13" s="149">
        <v>5003521</v>
      </c>
      <c r="F13" s="149">
        <v>2704112</v>
      </c>
      <c r="G13" s="149">
        <v>1981434</v>
      </c>
      <c r="H13" s="149">
        <v>365375</v>
      </c>
      <c r="I13" s="149">
        <v>0</v>
      </c>
      <c r="J13" s="150">
        <f>SUM(B13:I13)</f>
        <v>12316269</v>
      </c>
    </row>
    <row r="14" spans="1:10" ht="12.75">
      <c r="A14" s="52" t="s">
        <v>6</v>
      </c>
      <c r="B14" s="149">
        <v>4005</v>
      </c>
      <c r="C14" s="149">
        <v>891640</v>
      </c>
      <c r="D14" s="149">
        <v>1764040</v>
      </c>
      <c r="E14" s="149">
        <v>2468878</v>
      </c>
      <c r="F14" s="149">
        <v>4648039</v>
      </c>
      <c r="G14" s="149">
        <v>1423799</v>
      </c>
      <c r="H14" s="149">
        <v>137403</v>
      </c>
      <c r="I14" s="149">
        <v>0</v>
      </c>
      <c r="J14" s="150">
        <f>SUM(B14:I14)</f>
        <v>11337804</v>
      </c>
    </row>
    <row r="15" spans="1:10" ht="12.75">
      <c r="A15" s="52" t="s">
        <v>7</v>
      </c>
      <c r="B15" s="151">
        <f>SUM(B9:B14)</f>
        <v>697876</v>
      </c>
      <c r="C15" s="151">
        <f>SUM(C9:C14)</f>
        <v>26664233</v>
      </c>
      <c r="D15" s="151">
        <f>SUM(D9:D14)</f>
        <v>41635105</v>
      </c>
      <c r="E15" s="151">
        <f>SUM(E9:E14)</f>
        <v>49976519</v>
      </c>
      <c r="F15" s="151">
        <f>SUM(F9:F14)</f>
        <v>29469128</v>
      </c>
      <c r="G15" s="151">
        <f>SUM(G9:G14)</f>
        <v>20939112</v>
      </c>
      <c r="H15" s="151">
        <f>SUM(H9:H14)</f>
        <v>2458977</v>
      </c>
      <c r="I15" s="151">
        <f>SUM(I9:I14)</f>
        <v>0</v>
      </c>
      <c r="J15" s="152">
        <f>SUM(B15:I15)</f>
        <v>171840950</v>
      </c>
    </row>
    <row r="16" ht="12.75">
      <c r="B16" s="153"/>
    </row>
    <row r="18" spans="1:10" ht="18">
      <c r="A18" s="17" t="s">
        <v>106</v>
      </c>
      <c r="B18" s="17"/>
      <c r="C18" s="17"/>
      <c r="D18" s="17"/>
      <c r="E18" s="17"/>
      <c r="F18" s="18"/>
      <c r="G18" s="18"/>
      <c r="H18" s="18"/>
      <c r="I18" s="18"/>
      <c r="J18" s="18"/>
    </row>
    <row r="19" spans="1:10" ht="18">
      <c r="A19" s="17" t="s">
        <v>192</v>
      </c>
      <c r="B19" s="17"/>
      <c r="C19" s="17"/>
      <c r="D19" s="17"/>
      <c r="E19" s="17"/>
      <c r="F19" s="18"/>
      <c r="G19" s="18"/>
      <c r="H19" s="18"/>
      <c r="I19" s="18"/>
      <c r="J19" s="18"/>
    </row>
    <row r="23" spans="1:10" ht="12.75">
      <c r="A23" s="25" t="s">
        <v>21</v>
      </c>
      <c r="B23" s="25" t="s">
        <v>107</v>
      </c>
      <c r="C23" s="25" t="s">
        <v>108</v>
      </c>
      <c r="D23" s="25" t="s">
        <v>109</v>
      </c>
      <c r="E23" s="25" t="s">
        <v>110</v>
      </c>
      <c r="F23" s="25" t="s">
        <v>111</v>
      </c>
      <c r="G23" s="25" t="s">
        <v>112</v>
      </c>
      <c r="H23" s="25" t="s">
        <v>113</v>
      </c>
      <c r="I23" s="25" t="s">
        <v>114</v>
      </c>
      <c r="J23" s="25" t="s">
        <v>7</v>
      </c>
    </row>
    <row r="24" spans="1:10" ht="12.75">
      <c r="A24" s="52" t="s">
        <v>1</v>
      </c>
      <c r="B24" s="149">
        <v>0</v>
      </c>
      <c r="C24" s="149">
        <v>0</v>
      </c>
      <c r="D24" s="149">
        <v>0</v>
      </c>
      <c r="E24" s="149">
        <v>12136198</v>
      </c>
      <c r="F24" s="149">
        <v>0</v>
      </c>
      <c r="G24" s="149">
        <v>13242797</v>
      </c>
      <c r="H24" s="149"/>
      <c r="I24" s="149"/>
      <c r="J24" s="150">
        <f>SUM(B24:I24)</f>
        <v>25378995</v>
      </c>
    </row>
    <row r="25" spans="1:10" ht="12.75">
      <c r="A25" s="52" t="s">
        <v>2</v>
      </c>
      <c r="B25" s="149">
        <v>0</v>
      </c>
      <c r="C25" s="149">
        <v>0</v>
      </c>
      <c r="D25" s="149">
        <v>0</v>
      </c>
      <c r="E25" s="149">
        <v>2230448</v>
      </c>
      <c r="F25" s="149">
        <v>0</v>
      </c>
      <c r="G25" s="149">
        <v>2432540</v>
      </c>
      <c r="H25" s="149"/>
      <c r="I25" s="149"/>
      <c r="J25" s="150">
        <f>SUM(B25:I25)</f>
        <v>4662988</v>
      </c>
    </row>
    <row r="26" spans="1:10" ht="12.75">
      <c r="A26" s="52" t="s">
        <v>3</v>
      </c>
      <c r="B26" s="149">
        <v>0</v>
      </c>
      <c r="C26" s="149">
        <v>0</v>
      </c>
      <c r="D26" s="149">
        <v>0</v>
      </c>
      <c r="E26" s="149">
        <v>2108787</v>
      </c>
      <c r="F26" s="149">
        <v>0</v>
      </c>
      <c r="G26" s="149">
        <v>2299857</v>
      </c>
      <c r="H26" s="149"/>
      <c r="I26" s="149"/>
      <c r="J26" s="150">
        <f>SUM(B26:I26)</f>
        <v>4408644</v>
      </c>
    </row>
    <row r="27" spans="1:10" ht="12.75">
      <c r="A27" s="52" t="s">
        <v>4</v>
      </c>
      <c r="B27" s="149">
        <v>0</v>
      </c>
      <c r="C27" s="149">
        <v>0</v>
      </c>
      <c r="D27" s="149">
        <v>0</v>
      </c>
      <c r="E27" s="149">
        <v>2452426</v>
      </c>
      <c r="F27" s="149">
        <v>0</v>
      </c>
      <c r="G27" s="149">
        <v>2679286</v>
      </c>
      <c r="H27" s="149"/>
      <c r="I27" s="149"/>
      <c r="J27" s="150">
        <f>SUM(B27:I27)</f>
        <v>5131712</v>
      </c>
    </row>
    <row r="28" spans="1:10" ht="12.75">
      <c r="A28" s="52" t="s">
        <v>5</v>
      </c>
      <c r="B28" s="149">
        <v>0</v>
      </c>
      <c r="C28" s="149">
        <v>0</v>
      </c>
      <c r="D28" s="149">
        <v>0</v>
      </c>
      <c r="E28" s="149">
        <v>962614</v>
      </c>
      <c r="F28" s="149">
        <v>0</v>
      </c>
      <c r="G28" s="149">
        <v>1045178</v>
      </c>
      <c r="H28" s="149"/>
      <c r="I28" s="149"/>
      <c r="J28" s="150">
        <f>SUM(B28:I28)</f>
        <v>2007792</v>
      </c>
    </row>
    <row r="29" spans="1:10" ht="12.75">
      <c r="A29" s="52" t="s">
        <v>6</v>
      </c>
      <c r="B29" s="149">
        <v>0</v>
      </c>
      <c r="C29" s="149">
        <v>0</v>
      </c>
      <c r="D29" s="149">
        <v>0</v>
      </c>
      <c r="E29" s="149">
        <v>1453527</v>
      </c>
      <c r="F29" s="149">
        <v>0</v>
      </c>
      <c r="G29" s="149">
        <v>1578242</v>
      </c>
      <c r="H29" s="149"/>
      <c r="I29" s="149"/>
      <c r="J29" s="150">
        <f>SUM(B29:I29)</f>
        <v>3031769</v>
      </c>
    </row>
    <row r="30" spans="1:10" ht="12.75">
      <c r="A30" s="52" t="s">
        <v>7</v>
      </c>
      <c r="B30" s="151">
        <f>SUM(B24:B29)</f>
        <v>0</v>
      </c>
      <c r="C30" s="151">
        <f>SUM(C24:C29)</f>
        <v>0</v>
      </c>
      <c r="D30" s="151">
        <f>SUM(D24:D29)</f>
        <v>0</v>
      </c>
      <c r="E30" s="151">
        <f>SUM(E24:E29)</f>
        <v>21344000</v>
      </c>
      <c r="F30" s="151">
        <f>SUM(F24:F29)</f>
        <v>0</v>
      </c>
      <c r="G30" s="151">
        <f>SUM(G24:G29)</f>
        <v>23277900</v>
      </c>
      <c r="H30" s="151">
        <f>SUM(H24:H29)</f>
        <v>0</v>
      </c>
      <c r="I30" s="151">
        <f>SUM(I24:I29)</f>
        <v>0</v>
      </c>
      <c r="J30" s="152">
        <f>SUM(B30:I30)</f>
        <v>44621900</v>
      </c>
    </row>
    <row r="33" spans="1:10" ht="18">
      <c r="A33" s="17" t="s">
        <v>115</v>
      </c>
      <c r="B33" s="17"/>
      <c r="C33" s="17"/>
      <c r="D33" s="17"/>
      <c r="E33" s="17"/>
      <c r="F33" s="18"/>
      <c r="G33" s="18"/>
      <c r="H33" s="18"/>
      <c r="I33" s="18"/>
      <c r="J33" s="18"/>
    </row>
    <row r="34" spans="1:10" ht="18">
      <c r="A34" s="17" t="s">
        <v>192</v>
      </c>
      <c r="B34" s="17"/>
      <c r="C34" s="17"/>
      <c r="D34" s="17"/>
      <c r="E34" s="17"/>
      <c r="F34" s="18"/>
      <c r="G34" s="18"/>
      <c r="H34" s="18"/>
      <c r="I34" s="18"/>
      <c r="J34" s="18"/>
    </row>
    <row r="38" spans="1:10" ht="12.75">
      <c r="A38" s="25" t="s">
        <v>21</v>
      </c>
      <c r="B38" s="25" t="s">
        <v>116</v>
      </c>
      <c r="C38" s="25" t="s">
        <v>117</v>
      </c>
      <c r="D38" s="25" t="s">
        <v>118</v>
      </c>
      <c r="E38" s="25" t="s">
        <v>119</v>
      </c>
      <c r="F38" s="25" t="s">
        <v>120</v>
      </c>
      <c r="G38" s="25" t="s">
        <v>121</v>
      </c>
      <c r="H38" s="25" t="s">
        <v>122</v>
      </c>
      <c r="I38" s="25" t="s">
        <v>123</v>
      </c>
      <c r="J38" s="25" t="s">
        <v>7</v>
      </c>
    </row>
    <row r="39" spans="1:10" ht="12.75">
      <c r="A39" s="52" t="s">
        <v>1</v>
      </c>
      <c r="B39" s="149">
        <f>SUM(B9-B24)</f>
        <v>387255</v>
      </c>
      <c r="C39" s="149">
        <f>SUM(C9-C24)</f>
        <v>16304502</v>
      </c>
      <c r="D39" s="149">
        <f>SUM(D9-D24)</f>
        <v>25250457</v>
      </c>
      <c r="E39" s="149">
        <f>SUM(E9-E24)</f>
        <v>17805327</v>
      </c>
      <c r="F39" s="149">
        <f>SUM(F9-F24)</f>
        <v>14057208</v>
      </c>
      <c r="G39" s="149">
        <f>SUM(G9-G24)</f>
        <v>-3536855</v>
      </c>
      <c r="H39" s="149">
        <f>SUM(H9-H24)</f>
        <v>1409659</v>
      </c>
      <c r="I39" s="149">
        <f>SUM(I9-I24)</f>
        <v>0</v>
      </c>
      <c r="J39" s="150">
        <f>SUM(B39:I39)</f>
        <v>71677553</v>
      </c>
    </row>
    <row r="40" spans="1:10" ht="12.75">
      <c r="A40" s="52" t="s">
        <v>2</v>
      </c>
      <c r="B40" s="149">
        <f>SUM(B10-B25)</f>
        <v>4116</v>
      </c>
      <c r="C40" s="149">
        <f>SUM(C10-C25)</f>
        <v>2033074</v>
      </c>
      <c r="D40" s="149">
        <f>SUM(D10-D25)</f>
        <v>4995903</v>
      </c>
      <c r="E40" s="149">
        <f>SUM(E10-E25)</f>
        <v>4418905</v>
      </c>
      <c r="F40" s="149">
        <f>SUM(F10-F25)</f>
        <v>3434701</v>
      </c>
      <c r="G40" s="149">
        <f>SUM(G10-G25)</f>
        <v>713162</v>
      </c>
      <c r="H40" s="149">
        <f>SUM(H10-H25)</f>
        <v>186050</v>
      </c>
      <c r="I40" s="149">
        <f>SUM(I10-I25)</f>
        <v>0</v>
      </c>
      <c r="J40" s="150">
        <f>SUM(B40:I40)</f>
        <v>15785911</v>
      </c>
    </row>
    <row r="41" spans="1:10" ht="12.75">
      <c r="A41" s="52" t="s">
        <v>3</v>
      </c>
      <c r="B41" s="149">
        <f>SUM(B11-B26)</f>
        <v>130000</v>
      </c>
      <c r="C41" s="149">
        <f>SUM(C11-C26)</f>
        <v>2067694</v>
      </c>
      <c r="D41" s="149">
        <f>SUM(D11-D26)</f>
        <v>3505335</v>
      </c>
      <c r="E41" s="149">
        <f>SUM(E11-E26)</f>
        <v>362297</v>
      </c>
      <c r="F41" s="149">
        <f>SUM(F11-F26)</f>
        <v>2043351</v>
      </c>
      <c r="G41" s="149">
        <f>SUM(G11-G26)</f>
        <v>241215</v>
      </c>
      <c r="H41" s="149">
        <f>SUM(H11-H26)</f>
        <v>152794</v>
      </c>
      <c r="I41" s="149">
        <f>SUM(I11-I26)</f>
        <v>0</v>
      </c>
      <c r="J41" s="150">
        <f>SUM(B41:I41)</f>
        <v>8502686</v>
      </c>
    </row>
    <row r="42" spans="1:10" ht="12.75">
      <c r="A42" s="52" t="s">
        <v>4</v>
      </c>
      <c r="B42" s="149">
        <f>SUM(B12-B27)</f>
        <v>172500</v>
      </c>
      <c r="C42" s="149">
        <f>SUM(C12-C27)</f>
        <v>4010317</v>
      </c>
      <c r="D42" s="149">
        <f>SUM(D12-D27)</f>
        <v>5214549</v>
      </c>
      <c r="E42" s="149">
        <f>SUM(E12-E27)</f>
        <v>989732</v>
      </c>
      <c r="F42" s="149">
        <f>SUM(F12-F27)</f>
        <v>2581717</v>
      </c>
      <c r="G42" s="149">
        <f>SUM(G12-G27)</f>
        <v>-538123</v>
      </c>
      <c r="H42" s="149">
        <f>SUM(H12-H27)</f>
        <v>207696</v>
      </c>
      <c r="I42" s="149">
        <f>SUM(I12-I27)</f>
        <v>0</v>
      </c>
      <c r="J42" s="150">
        <f>SUM(B42:I42)</f>
        <v>12638388</v>
      </c>
    </row>
    <row r="43" spans="1:10" ht="12.75">
      <c r="A43" s="52" t="s">
        <v>5</v>
      </c>
      <c r="B43" s="149">
        <f>SUM(B13-B28)</f>
        <v>0</v>
      </c>
      <c r="C43" s="149">
        <f>SUM(C13-C28)</f>
        <v>1357006</v>
      </c>
      <c r="D43" s="149">
        <f>SUM(D13-D28)</f>
        <v>904821</v>
      </c>
      <c r="E43" s="149">
        <f>SUM(E13-E28)</f>
        <v>4040907</v>
      </c>
      <c r="F43" s="149">
        <f>SUM(F13-F28)</f>
        <v>2704112</v>
      </c>
      <c r="G43" s="149">
        <f>SUM(G13-G28)</f>
        <v>936256</v>
      </c>
      <c r="H43" s="149">
        <f>SUM(H13-H28)</f>
        <v>365375</v>
      </c>
      <c r="I43" s="149">
        <f>SUM(I13-I28)</f>
        <v>0</v>
      </c>
      <c r="J43" s="150">
        <f>SUM(B43:I43)</f>
        <v>10308477</v>
      </c>
    </row>
    <row r="44" spans="1:10" ht="12.75">
      <c r="A44" s="52" t="s">
        <v>6</v>
      </c>
      <c r="B44" s="149">
        <f>SUM(B14-B29)</f>
        <v>4005</v>
      </c>
      <c r="C44" s="149">
        <f>SUM(C14-C29)</f>
        <v>891640</v>
      </c>
      <c r="D44" s="149">
        <f>SUM(D14-D29)</f>
        <v>1764040</v>
      </c>
      <c r="E44" s="149">
        <f>SUM(E14-E29)</f>
        <v>1015351</v>
      </c>
      <c r="F44" s="149">
        <f>SUM(F14-F29)</f>
        <v>4648039</v>
      </c>
      <c r="G44" s="149">
        <f>SUM(G14-G29)</f>
        <v>-154443</v>
      </c>
      <c r="H44" s="149">
        <f>SUM(H14-H29)</f>
        <v>137403</v>
      </c>
      <c r="I44" s="149">
        <f>SUM(I14-I29)</f>
        <v>0</v>
      </c>
      <c r="J44" s="150">
        <f>SUM(B44:I44)</f>
        <v>8306035</v>
      </c>
    </row>
    <row r="45" spans="1:10" ht="12.75">
      <c r="A45" s="52" t="s">
        <v>7</v>
      </c>
      <c r="B45" s="154">
        <f>SUM(B39:B44)</f>
        <v>697876</v>
      </c>
      <c r="C45" s="151">
        <f>SUM(C39:C44)</f>
        <v>26664233</v>
      </c>
      <c r="D45" s="151">
        <f>SUM(D39:D44)</f>
        <v>41635105</v>
      </c>
      <c r="E45" s="151">
        <f>SUM(E39:E44)</f>
        <v>28632519</v>
      </c>
      <c r="F45" s="151">
        <f>SUM(F39:F44)</f>
        <v>29469128</v>
      </c>
      <c r="G45" s="151">
        <f>SUM(G39:G44)</f>
        <v>-2338788</v>
      </c>
      <c r="H45" s="151">
        <f>SUM(H39:H44)</f>
        <v>2458977</v>
      </c>
      <c r="I45" s="151">
        <f>SUM(I39:I44)</f>
        <v>0</v>
      </c>
      <c r="J45" s="152">
        <f>SUM(B45:I45)</f>
        <v>127219050</v>
      </c>
    </row>
  </sheetData>
  <printOptions/>
  <pageMargins left="0.45" right="0.36" top="0.26" bottom="0.5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47.7109375" style="0" customWidth="1"/>
    <col min="2" max="2" width="10.00390625" style="0" customWidth="1"/>
    <col min="3" max="3" width="11.8515625" style="0" customWidth="1"/>
    <col min="4" max="4" width="11.140625" style="0" customWidth="1"/>
    <col min="5" max="5" width="11.421875" style="0" customWidth="1"/>
    <col min="6" max="6" width="14.28125" style="0" customWidth="1"/>
    <col min="7" max="7" width="11.140625" style="0" customWidth="1"/>
    <col min="8" max="8" width="10.57421875" style="0" customWidth="1"/>
  </cols>
  <sheetData>
    <row r="1" ht="12.75">
      <c r="A1" t="s">
        <v>59</v>
      </c>
    </row>
    <row r="3" spans="1:8" ht="18">
      <c r="A3" s="17" t="s">
        <v>143</v>
      </c>
      <c r="B3" s="17"/>
      <c r="C3" s="18"/>
      <c r="D3" s="18"/>
      <c r="E3" s="18"/>
      <c r="F3" s="18"/>
      <c r="G3" s="18"/>
      <c r="H3" s="18"/>
    </row>
    <row r="4" spans="1:8" ht="18">
      <c r="A4" s="17"/>
      <c r="B4" s="17"/>
      <c r="C4" s="18"/>
      <c r="D4" s="18"/>
      <c r="E4" s="18"/>
      <c r="F4" s="18"/>
      <c r="G4" s="18"/>
      <c r="H4" s="18"/>
    </row>
    <row r="5" spans="1:8" ht="18">
      <c r="A5" s="17"/>
      <c r="B5" s="17"/>
      <c r="C5" s="18"/>
      <c r="D5" s="18"/>
      <c r="E5" s="18"/>
      <c r="F5" s="18"/>
      <c r="G5" s="18"/>
      <c r="H5" s="18"/>
    </row>
    <row r="8" spans="1:8" ht="12.75">
      <c r="A8" s="6" t="s">
        <v>16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19" t="s">
        <v>6</v>
      </c>
      <c r="H8" s="8" t="s">
        <v>7</v>
      </c>
    </row>
    <row r="9" spans="1:8" ht="12.75">
      <c r="A9" s="9" t="s">
        <v>17</v>
      </c>
      <c r="B9" s="10">
        <v>7482</v>
      </c>
      <c r="C9" s="11">
        <v>1371</v>
      </c>
      <c r="D9" s="10">
        <v>1339</v>
      </c>
      <c r="E9" s="10">
        <v>1494</v>
      </c>
      <c r="F9" s="10">
        <v>503</v>
      </c>
      <c r="G9" s="20">
        <v>830</v>
      </c>
      <c r="H9" s="12">
        <f>SUM(B9:G9)</f>
        <v>13019</v>
      </c>
    </row>
    <row r="10" spans="1:8" ht="12.75">
      <c r="A10" s="9" t="s">
        <v>18</v>
      </c>
      <c r="B10" s="10">
        <v>721</v>
      </c>
      <c r="C10" s="11">
        <v>143</v>
      </c>
      <c r="D10" s="10">
        <v>102</v>
      </c>
      <c r="E10" s="10">
        <v>143</v>
      </c>
      <c r="F10" s="10">
        <v>87</v>
      </c>
      <c r="G10" s="20">
        <v>113</v>
      </c>
      <c r="H10" s="12">
        <f>SUM(B10:G10)</f>
        <v>1309</v>
      </c>
    </row>
    <row r="11" spans="1:8" ht="12.75">
      <c r="A11" s="13" t="s">
        <v>19</v>
      </c>
      <c r="B11" s="12">
        <f aca="true" t="shared" si="0" ref="B11:G11">SUM(B9-B10)</f>
        <v>6761</v>
      </c>
      <c r="C11" s="12">
        <f t="shared" si="0"/>
        <v>1228</v>
      </c>
      <c r="D11" s="12">
        <f t="shared" si="0"/>
        <v>1237</v>
      </c>
      <c r="E11" s="12">
        <f t="shared" si="0"/>
        <v>1351</v>
      </c>
      <c r="F11" s="12">
        <f t="shared" si="0"/>
        <v>416</v>
      </c>
      <c r="G11" s="12">
        <f t="shared" si="0"/>
        <v>717</v>
      </c>
      <c r="H11" s="12">
        <f>SUM(B11:G11)</f>
        <v>11710</v>
      </c>
    </row>
    <row r="12" spans="1:8" ht="12.75">
      <c r="A12" s="21" t="s">
        <v>20</v>
      </c>
      <c r="B12" s="14">
        <f>SUM(B10/B9)</f>
        <v>0.09636460839347769</v>
      </c>
      <c r="C12" s="14">
        <f aca="true" t="shared" si="1" ref="C12:H12">SUM(C10/C9)</f>
        <v>0.10430342815463166</v>
      </c>
      <c r="D12" s="14">
        <f t="shared" si="1"/>
        <v>0.07617625093353249</v>
      </c>
      <c r="E12" s="14">
        <f t="shared" si="1"/>
        <v>0.09571619812583668</v>
      </c>
      <c r="F12" s="14">
        <f t="shared" si="1"/>
        <v>0.17296222664015903</v>
      </c>
      <c r="G12" s="14">
        <f t="shared" si="1"/>
        <v>0.13614457831325302</v>
      </c>
      <c r="H12" s="23">
        <f t="shared" si="1"/>
        <v>0.1005453567862355</v>
      </c>
    </row>
    <row r="13" spans="1:8" ht="12.75">
      <c r="A13" s="21" t="s">
        <v>64</v>
      </c>
      <c r="B13" s="9">
        <v>7844</v>
      </c>
      <c r="C13" s="9">
        <v>1451</v>
      </c>
      <c r="D13" s="9">
        <v>1373</v>
      </c>
      <c r="E13" s="9">
        <v>1597</v>
      </c>
      <c r="F13" s="9">
        <v>624</v>
      </c>
      <c r="G13" s="9">
        <v>946</v>
      </c>
      <c r="H13" s="26">
        <f>SUM(B13:G13)</f>
        <v>13835</v>
      </c>
    </row>
    <row r="14" spans="1:8" ht="12.75">
      <c r="A14" s="22" t="s">
        <v>86</v>
      </c>
      <c r="B14" s="23">
        <f>SUM(B11/B13)</f>
        <v>0.8619326874043856</v>
      </c>
      <c r="C14" s="23">
        <f aca="true" t="shared" si="2" ref="C14:H14">SUM(C11/C13)</f>
        <v>0.8463128876636802</v>
      </c>
      <c r="D14" s="23">
        <f t="shared" si="2"/>
        <v>0.9009468317552805</v>
      </c>
      <c r="E14" s="23">
        <f t="shared" si="2"/>
        <v>0.8459611772072636</v>
      </c>
      <c r="F14" s="23">
        <f t="shared" si="2"/>
        <v>0.6666666666666666</v>
      </c>
      <c r="G14" s="23">
        <f t="shared" si="2"/>
        <v>0.7579281183932347</v>
      </c>
      <c r="H14" s="23">
        <f t="shared" si="2"/>
        <v>0.8464040477050958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35.28125" style="0" customWidth="1"/>
    <col min="3" max="3" width="19.7109375" style="0" customWidth="1"/>
    <col min="4" max="4" width="18.57421875" style="0" customWidth="1"/>
  </cols>
  <sheetData>
    <row r="1" ht="12.75">
      <c r="A1" t="s">
        <v>60</v>
      </c>
    </row>
    <row r="3" spans="1:4" ht="15.75">
      <c r="A3" s="24" t="s">
        <v>158</v>
      </c>
      <c r="B3" s="24"/>
      <c r="C3" s="24"/>
      <c r="D3" s="24"/>
    </row>
    <row r="4" spans="1:4" ht="12.75">
      <c r="A4" s="18" t="s">
        <v>90</v>
      </c>
      <c r="B4" s="18"/>
      <c r="C4" s="18"/>
      <c r="D4" s="18"/>
    </row>
    <row r="5" spans="1:4" ht="12.75">
      <c r="A5" s="18"/>
      <c r="B5" s="18"/>
      <c r="C5" s="18"/>
      <c r="D5" s="18"/>
    </row>
    <row r="7" spans="1:4" ht="12.75">
      <c r="A7" s="25" t="s">
        <v>21</v>
      </c>
      <c r="B7" s="25" t="s">
        <v>22</v>
      </c>
      <c r="C7" s="25" t="s">
        <v>23</v>
      </c>
      <c r="D7" s="25" t="s">
        <v>24</v>
      </c>
    </row>
    <row r="8" spans="1:4" ht="12.75">
      <c r="A8" s="26" t="s">
        <v>1</v>
      </c>
      <c r="B8" s="27">
        <v>48893776</v>
      </c>
      <c r="C8" s="27">
        <v>818463898</v>
      </c>
      <c r="D8" s="27">
        <f>SUM(B8+C8)</f>
        <v>867357674</v>
      </c>
    </row>
    <row r="9" spans="1:4" ht="12.75">
      <c r="A9" s="26" t="s">
        <v>2</v>
      </c>
      <c r="B9" s="27"/>
      <c r="C9" s="27">
        <v>190202955</v>
      </c>
      <c r="D9" s="27">
        <f aca="true" t="shared" si="0" ref="D9:D14">SUM(B9+C9)</f>
        <v>190202955</v>
      </c>
    </row>
    <row r="10" spans="1:4" ht="12.75">
      <c r="A10" s="26" t="s">
        <v>3</v>
      </c>
      <c r="B10" s="27"/>
      <c r="C10" s="27">
        <v>157854728</v>
      </c>
      <c r="D10" s="27">
        <f t="shared" si="0"/>
        <v>157854728</v>
      </c>
    </row>
    <row r="11" spans="1:4" ht="12.75">
      <c r="A11" s="26" t="s">
        <v>4</v>
      </c>
      <c r="B11" s="27"/>
      <c r="C11" s="27">
        <v>175753751</v>
      </c>
      <c r="D11" s="27">
        <f t="shared" si="0"/>
        <v>175753751</v>
      </c>
    </row>
    <row r="12" spans="1:4" ht="12.75">
      <c r="A12" s="26" t="s">
        <v>5</v>
      </c>
      <c r="B12" s="27">
        <v>9519215</v>
      </c>
      <c r="C12" s="27">
        <v>54078538</v>
      </c>
      <c r="D12" s="27">
        <f t="shared" si="0"/>
        <v>63597753</v>
      </c>
    </row>
    <row r="13" spans="1:4" ht="12.75">
      <c r="A13" s="26" t="s">
        <v>6</v>
      </c>
      <c r="B13" s="27"/>
      <c r="C13" s="27">
        <v>104101652</v>
      </c>
      <c r="D13" s="27">
        <f t="shared" si="0"/>
        <v>104101652</v>
      </c>
    </row>
    <row r="14" spans="1:4" ht="12.75">
      <c r="A14" s="26" t="s">
        <v>7</v>
      </c>
      <c r="B14" s="28">
        <f>SUM(B8:B13)</f>
        <v>58412991</v>
      </c>
      <c r="C14" s="28">
        <f>SUM(C8:C13)</f>
        <v>1500455522</v>
      </c>
      <c r="D14" s="28">
        <f t="shared" si="0"/>
        <v>1558868513</v>
      </c>
    </row>
    <row r="20" spans="1:4" ht="15.75">
      <c r="A20" s="161" t="s">
        <v>195</v>
      </c>
      <c r="B20" s="61"/>
      <c r="C20" s="61"/>
      <c r="D20" s="61"/>
    </row>
    <row r="21" spans="1:4" ht="12.75">
      <c r="A21" s="15"/>
      <c r="B21" s="15"/>
      <c r="C21" s="15"/>
      <c r="D21" s="15"/>
    </row>
    <row r="22" spans="1:4" ht="12.75">
      <c r="A22" s="15"/>
      <c r="B22" s="47"/>
      <c r="C22" s="15"/>
      <c r="D22" s="15"/>
    </row>
    <row r="23" spans="1:4" ht="12.75">
      <c r="A23" s="25" t="s">
        <v>21</v>
      </c>
      <c r="B23" s="25" t="s">
        <v>165</v>
      </c>
      <c r="C23" s="25" t="s">
        <v>166</v>
      </c>
      <c r="D23" s="25" t="s">
        <v>167</v>
      </c>
    </row>
    <row r="24" spans="1:4" ht="12.75">
      <c r="A24" s="26" t="s">
        <v>1</v>
      </c>
      <c r="B24" s="27">
        <f>SUM(D24*0.61112)</f>
        <v>530059621.73488</v>
      </c>
      <c r="C24" s="27">
        <f aca="true" t="shared" si="1" ref="C24:C29">SUM(D24-B24)</f>
        <v>337298052.26512</v>
      </c>
      <c r="D24" s="27">
        <v>867357674</v>
      </c>
    </row>
    <row r="25" spans="1:4" ht="12.75">
      <c r="A25" s="26" t="s">
        <v>2</v>
      </c>
      <c r="B25" s="27">
        <f>SUM(D25*0.77273)</f>
        <v>146975529.41715</v>
      </c>
      <c r="C25" s="27">
        <f t="shared" si="1"/>
        <v>43227425.58285001</v>
      </c>
      <c r="D25" s="27">
        <v>190202955</v>
      </c>
    </row>
    <row r="26" spans="1:4" ht="12.75">
      <c r="A26" s="26" t="s">
        <v>3</v>
      </c>
      <c r="B26" s="27">
        <f>SUM(D26*0.72223)</f>
        <v>114007420.20344001</v>
      </c>
      <c r="C26" s="27">
        <f t="shared" si="1"/>
        <v>43847307.79655999</v>
      </c>
      <c r="D26" s="27">
        <v>157854728</v>
      </c>
    </row>
    <row r="27" spans="1:4" ht="12.75">
      <c r="A27" s="26" t="s">
        <v>4</v>
      </c>
      <c r="B27" s="27">
        <f>SUM(D27*0.62163)</f>
        <v>109253804.23413001</v>
      </c>
      <c r="C27" s="27">
        <f t="shared" si="1"/>
        <v>66499946.76586999</v>
      </c>
      <c r="D27" s="27">
        <v>175753751</v>
      </c>
    </row>
    <row r="28" spans="1:4" ht="12.75">
      <c r="A28" s="26" t="s">
        <v>5</v>
      </c>
      <c r="B28" s="27">
        <f>SUM(D28*0.77778)</f>
        <v>49465060.32834</v>
      </c>
      <c r="C28" s="27">
        <f t="shared" si="1"/>
        <v>14132692.671659999</v>
      </c>
      <c r="D28" s="27">
        <v>63597753</v>
      </c>
    </row>
    <row r="29" spans="1:4" ht="12.75">
      <c r="A29" s="26" t="s">
        <v>6</v>
      </c>
      <c r="B29" s="27">
        <f>SUM(D29*0.76191)</f>
        <v>79316089.67532</v>
      </c>
      <c r="C29" s="27">
        <f t="shared" si="1"/>
        <v>24785562.32468</v>
      </c>
      <c r="D29" s="27">
        <v>104101652</v>
      </c>
    </row>
    <row r="30" spans="1:4" ht="12.75">
      <c r="A30" s="26" t="s">
        <v>7</v>
      </c>
      <c r="B30" s="28">
        <f>SUM(B24:B29)</f>
        <v>1029077525.59326</v>
      </c>
      <c r="C30" s="28">
        <f>SUM(C24:C29)</f>
        <v>529790987.40673995</v>
      </c>
      <c r="D30" s="28">
        <v>1558868513</v>
      </c>
    </row>
    <row r="31" spans="1:4" ht="12.75">
      <c r="A31" s="15"/>
      <c r="B31" s="47"/>
      <c r="C31" s="15"/>
      <c r="D31" s="15"/>
    </row>
    <row r="32" spans="1:4" ht="12.75">
      <c r="A32" s="56" t="s">
        <v>168</v>
      </c>
      <c r="B32" s="57"/>
      <c r="C32" s="15"/>
      <c r="D32" s="15"/>
    </row>
    <row r="33" spans="1:4" ht="12.75">
      <c r="A33" s="15"/>
      <c r="B33" s="47"/>
      <c r="C33" s="15"/>
      <c r="D33" s="15"/>
    </row>
    <row r="34" spans="1:4" ht="12.75">
      <c r="A34" s="58"/>
      <c r="B34" s="59"/>
      <c r="C34" s="15"/>
      <c r="D34" s="15"/>
    </row>
    <row r="35" spans="1:4" ht="12.75">
      <c r="A35" s="15"/>
      <c r="B35" s="47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</sheetData>
  <printOptions/>
  <pageMargins left="0.5905511811023623" right="0.3937007874015748" top="0.58" bottom="0.5905511811023623" header="0.5118110236220472" footer="0.5118110236220472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2.75"/>
  <cols>
    <col min="1" max="1" width="33.421875" style="0" customWidth="1"/>
    <col min="2" max="2" width="15.57421875" style="0" customWidth="1"/>
    <col min="3" max="3" width="12.7109375" style="0" customWidth="1"/>
    <col min="4" max="4" width="14.140625" style="0" customWidth="1"/>
    <col min="5" max="5" width="14.8515625" style="0" customWidth="1"/>
    <col min="6" max="6" width="14.7109375" style="0" customWidth="1"/>
    <col min="7" max="7" width="12.57421875" style="0" customWidth="1"/>
    <col min="8" max="8" width="12.00390625" style="0" customWidth="1"/>
    <col min="9" max="9" width="13.00390625" style="0" customWidth="1"/>
    <col min="10" max="11" width="23.421875" style="0" hidden="1" customWidth="1"/>
    <col min="12" max="12" width="20.00390625" style="0" customWidth="1"/>
    <col min="13" max="13" width="20.140625" style="0" customWidth="1"/>
  </cols>
  <sheetData>
    <row r="1" ht="12.75">
      <c r="A1" t="s">
        <v>61</v>
      </c>
    </row>
    <row r="2" spans="9:11" ht="12.75">
      <c r="I2" s="46"/>
      <c r="J2" s="46"/>
      <c r="K2" s="46"/>
    </row>
    <row r="3" spans="1:12" ht="15.75">
      <c r="A3" s="24" t="s">
        <v>164</v>
      </c>
      <c r="B3" s="24"/>
      <c r="C3" s="24"/>
      <c r="D3" s="24"/>
      <c r="E3" s="24"/>
      <c r="F3" s="24"/>
      <c r="G3" s="24"/>
      <c r="H3" s="24"/>
      <c r="I3" s="51"/>
      <c r="J3" s="72"/>
      <c r="K3" s="72"/>
      <c r="L3" s="73"/>
    </row>
    <row r="4" spans="1:12" ht="15.75">
      <c r="A4" s="24"/>
      <c r="B4" s="24"/>
      <c r="C4" s="24"/>
      <c r="D4" s="24"/>
      <c r="E4" s="24"/>
      <c r="F4" s="24"/>
      <c r="G4" s="24"/>
      <c r="H4" s="24"/>
      <c r="I4" s="51"/>
      <c r="J4" s="72"/>
      <c r="K4" s="72"/>
      <c r="L4" s="73"/>
    </row>
    <row r="5" spans="1:11" ht="15.75">
      <c r="A5" s="24"/>
      <c r="B5" s="24"/>
      <c r="C5" s="24"/>
      <c r="D5" s="24"/>
      <c r="E5" s="24"/>
      <c r="F5" s="24"/>
      <c r="G5" s="24"/>
      <c r="H5" s="24"/>
      <c r="I5" s="51"/>
      <c r="J5" s="51"/>
      <c r="K5" s="51"/>
    </row>
    <row r="6" spans="1:11" ht="12.75">
      <c r="A6" s="188" t="s">
        <v>65</v>
      </c>
      <c r="B6" s="189" t="s">
        <v>66</v>
      </c>
      <c r="C6" s="189" t="s">
        <v>68</v>
      </c>
      <c r="D6" s="186" t="s">
        <v>67</v>
      </c>
      <c r="E6" s="181" t="s">
        <v>69</v>
      </c>
      <c r="F6" s="182"/>
      <c r="G6" s="183"/>
      <c r="H6" s="186" t="s">
        <v>79</v>
      </c>
      <c r="I6" s="184" t="s">
        <v>80</v>
      </c>
      <c r="J6" s="46"/>
      <c r="K6" s="46"/>
    </row>
    <row r="7" spans="1:11" ht="39.75" customHeight="1">
      <c r="A7" s="185"/>
      <c r="B7" s="185"/>
      <c r="C7" s="185"/>
      <c r="D7" s="190"/>
      <c r="E7" s="85" t="s">
        <v>72</v>
      </c>
      <c r="F7" s="85" t="s">
        <v>71</v>
      </c>
      <c r="G7" s="74" t="s">
        <v>88</v>
      </c>
      <c r="H7" s="187"/>
      <c r="I7" s="185"/>
      <c r="J7" s="55"/>
      <c r="K7" s="55"/>
    </row>
    <row r="8" spans="1:11" ht="19.5" customHeight="1">
      <c r="A8" s="88" t="s">
        <v>57</v>
      </c>
      <c r="B8" s="117">
        <v>1516711788</v>
      </c>
      <c r="C8" s="117">
        <v>0</v>
      </c>
      <c r="D8" s="117">
        <v>0</v>
      </c>
      <c r="E8" s="117">
        <v>993979230</v>
      </c>
      <c r="F8" s="117">
        <v>509776739</v>
      </c>
      <c r="G8" s="117">
        <v>6535197</v>
      </c>
      <c r="H8" s="117">
        <v>0</v>
      </c>
      <c r="I8" s="117">
        <v>6420622</v>
      </c>
      <c r="J8" s="47"/>
      <c r="K8" s="47"/>
    </row>
    <row r="9" spans="1:11" ht="19.5" customHeight="1">
      <c r="A9" s="88" t="s">
        <v>54</v>
      </c>
      <c r="B9" s="117">
        <v>19352368</v>
      </c>
      <c r="C9" s="117">
        <v>6317263</v>
      </c>
      <c r="D9" s="117">
        <v>10441671</v>
      </c>
      <c r="E9" s="117">
        <v>0</v>
      </c>
      <c r="F9" s="117"/>
      <c r="G9" s="117">
        <v>0</v>
      </c>
      <c r="H9" s="117">
        <v>1721593</v>
      </c>
      <c r="I9" s="117">
        <v>871841</v>
      </c>
      <c r="J9" s="47"/>
      <c r="K9" s="47"/>
    </row>
    <row r="10" spans="1:11" ht="19.5" customHeight="1">
      <c r="A10" s="88" t="s">
        <v>55</v>
      </c>
      <c r="B10" s="117">
        <v>142109787</v>
      </c>
      <c r="C10" s="117">
        <v>0</v>
      </c>
      <c r="D10" s="117">
        <v>131538766</v>
      </c>
      <c r="E10" s="117">
        <v>0</v>
      </c>
      <c r="F10" s="117"/>
      <c r="G10" s="117">
        <v>0</v>
      </c>
      <c r="H10" s="117">
        <v>0</v>
      </c>
      <c r="I10" s="117">
        <v>10571021</v>
      </c>
      <c r="J10" s="47"/>
      <c r="K10" s="47"/>
    </row>
    <row r="11" spans="1:11" ht="19.5" customHeight="1">
      <c r="A11" s="89" t="s">
        <v>53</v>
      </c>
      <c r="B11" s="120">
        <f aca="true" t="shared" si="0" ref="B11:I11">SUM(B8:B10)</f>
        <v>1678173943</v>
      </c>
      <c r="C11" s="120">
        <f t="shared" si="0"/>
        <v>6317263</v>
      </c>
      <c r="D11" s="120">
        <f t="shared" si="0"/>
        <v>141980437</v>
      </c>
      <c r="E11" s="120">
        <f t="shared" si="0"/>
        <v>993979230</v>
      </c>
      <c r="F11" s="120">
        <f>SUM(F8:F10)</f>
        <v>509776739</v>
      </c>
      <c r="G11" s="120">
        <f t="shared" si="0"/>
        <v>6535197</v>
      </c>
      <c r="H11" s="120">
        <f>SUM(H8:H10)</f>
        <v>1721593</v>
      </c>
      <c r="I11" s="120">
        <f t="shared" si="0"/>
        <v>17863484</v>
      </c>
      <c r="J11" s="57"/>
      <c r="K11" s="57"/>
    </row>
    <row r="12" spans="1:11" ht="19.5" customHeight="1">
      <c r="A12" s="88"/>
      <c r="B12" s="117"/>
      <c r="C12" s="117"/>
      <c r="D12" s="117"/>
      <c r="E12" s="117"/>
      <c r="F12" s="117"/>
      <c r="G12" s="117"/>
      <c r="H12" s="117"/>
      <c r="I12" s="117"/>
      <c r="J12" s="47"/>
      <c r="K12" s="47"/>
    </row>
    <row r="13" spans="1:11" ht="19.5" customHeight="1">
      <c r="A13" s="89" t="s">
        <v>33</v>
      </c>
      <c r="B13" s="120">
        <v>30594074</v>
      </c>
      <c r="C13" s="120">
        <v>0</v>
      </c>
      <c r="D13" s="120">
        <v>28299582</v>
      </c>
      <c r="E13" s="120">
        <v>0</v>
      </c>
      <c r="F13" s="120"/>
      <c r="G13" s="120">
        <v>0</v>
      </c>
      <c r="H13" s="120">
        <v>0</v>
      </c>
      <c r="I13" s="120">
        <v>2294492</v>
      </c>
      <c r="J13" s="57"/>
      <c r="K13" s="57"/>
    </row>
    <row r="14" spans="1:11" ht="19.5" customHeight="1">
      <c r="A14" s="88"/>
      <c r="B14" s="117"/>
      <c r="C14" s="117"/>
      <c r="D14" s="117"/>
      <c r="E14" s="117"/>
      <c r="F14" s="117"/>
      <c r="G14" s="117"/>
      <c r="H14" s="117"/>
      <c r="I14" s="117"/>
      <c r="J14" s="47"/>
      <c r="K14" s="47"/>
    </row>
    <row r="15" spans="1:11" s="78" customFormat="1" ht="19.5" customHeight="1">
      <c r="A15" s="90" t="s">
        <v>56</v>
      </c>
      <c r="B15" s="121">
        <f>SUM(B11:B13)</f>
        <v>1708768017</v>
      </c>
      <c r="C15" s="121">
        <f aca="true" t="shared" si="1" ref="C15:I15">SUM(C11:C14)</f>
        <v>6317263</v>
      </c>
      <c r="D15" s="121">
        <f t="shared" si="1"/>
        <v>170280019</v>
      </c>
      <c r="E15" s="121">
        <f t="shared" si="1"/>
        <v>993979230</v>
      </c>
      <c r="F15" s="121">
        <f>SUM(F11:F14)</f>
        <v>509776739</v>
      </c>
      <c r="G15" s="121">
        <f t="shared" si="1"/>
        <v>6535197</v>
      </c>
      <c r="H15" s="121">
        <f t="shared" si="1"/>
        <v>1721593</v>
      </c>
      <c r="I15" s="121">
        <f t="shared" si="1"/>
        <v>20157976</v>
      </c>
      <c r="J15" s="59"/>
      <c r="K15" s="59"/>
    </row>
    <row r="16" spans="1:11" ht="19.5" customHeight="1">
      <c r="A16" s="58"/>
      <c r="B16" s="58"/>
      <c r="C16" s="58"/>
      <c r="D16" s="58"/>
      <c r="E16" s="58"/>
      <c r="F16" s="58"/>
      <c r="G16" s="58"/>
      <c r="H16" s="58"/>
      <c r="I16" s="59"/>
      <c r="J16" s="59"/>
      <c r="K16" s="59"/>
    </row>
    <row r="17" spans="9:11" ht="19.5" customHeight="1">
      <c r="I17" s="46"/>
      <c r="J17" s="46"/>
      <c r="K17" s="46"/>
    </row>
    <row r="18" spans="10:11" ht="12.75">
      <c r="J18" s="46"/>
      <c r="K18" s="46"/>
    </row>
    <row r="19" spans="10:11" ht="12.75">
      <c r="J19" s="46"/>
      <c r="K19" s="46"/>
    </row>
    <row r="27" s="38" customFormat="1" ht="12.75"/>
    <row r="37" s="38" customFormat="1" ht="12.75"/>
    <row r="47" s="38" customFormat="1" ht="12.75"/>
    <row r="57" s="38" customFormat="1" ht="12.75"/>
  </sheetData>
  <mergeCells count="7">
    <mergeCell ref="E6:G6"/>
    <mergeCell ref="I6:I7"/>
    <mergeCell ref="H6:H7"/>
    <mergeCell ref="A6:A7"/>
    <mergeCell ref="B6:B7"/>
    <mergeCell ref="C6:C7"/>
    <mergeCell ref="D6:D7"/>
  </mergeCells>
  <printOptions/>
  <pageMargins left="0.7874015748031497" right="0.5905511811023623" top="1.1811023622047245" bottom="0.7874015748031497" header="0.5118110236220472" footer="0.5118110236220472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5.28125" style="0" customWidth="1"/>
    <col min="3" max="3" width="17.28125" style="0" customWidth="1"/>
    <col min="4" max="4" width="12.8515625" style="0" customWidth="1"/>
    <col min="5" max="5" width="14.8515625" style="0" customWidth="1"/>
    <col min="6" max="6" width="15.57421875" style="0" customWidth="1"/>
    <col min="7" max="7" width="16.28125" style="0" customWidth="1"/>
    <col min="8" max="8" width="13.28125" style="0" customWidth="1"/>
    <col min="9" max="9" width="12.7109375" style="0" customWidth="1"/>
    <col min="10" max="10" width="18.421875" style="0" customWidth="1"/>
  </cols>
  <sheetData>
    <row r="1" ht="12.75">
      <c r="A1" t="s">
        <v>62</v>
      </c>
    </row>
    <row r="3" spans="1:10" ht="18">
      <c r="A3" s="17" t="s">
        <v>163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6:8" ht="12.75">
      <c r="F5" s="191" t="s">
        <v>83</v>
      </c>
      <c r="G5" s="192"/>
      <c r="H5" s="193"/>
    </row>
    <row r="6" spans="1:10" ht="12.75">
      <c r="A6" s="26" t="s">
        <v>21</v>
      </c>
      <c r="B6" s="25" t="s">
        <v>65</v>
      </c>
      <c r="C6" s="25" t="s">
        <v>70</v>
      </c>
      <c r="D6" s="25" t="s">
        <v>71</v>
      </c>
      <c r="E6" s="25" t="s">
        <v>72</v>
      </c>
      <c r="F6" s="25" t="s">
        <v>81</v>
      </c>
      <c r="G6" s="25" t="s">
        <v>82</v>
      </c>
      <c r="H6" s="25" t="s">
        <v>89</v>
      </c>
      <c r="I6" s="25" t="s">
        <v>73</v>
      </c>
      <c r="J6" s="25" t="s">
        <v>74</v>
      </c>
    </row>
    <row r="7" spans="1:10" ht="12.75">
      <c r="A7" s="87" t="s">
        <v>1</v>
      </c>
      <c r="B7" s="111" t="s">
        <v>30</v>
      </c>
      <c r="C7" s="27">
        <v>824967097</v>
      </c>
      <c r="D7" s="27">
        <v>0</v>
      </c>
      <c r="E7" s="27">
        <v>0</v>
      </c>
      <c r="F7" s="27">
        <f>SUM((C7-H7)*0.61112)</f>
        <v>501344465.5104</v>
      </c>
      <c r="G7" s="27">
        <f>SUM(C7-F7-H7)</f>
        <v>319025454.4896</v>
      </c>
      <c r="H7" s="27">
        <v>4597177</v>
      </c>
      <c r="I7" s="27">
        <v>0</v>
      </c>
      <c r="J7" s="27">
        <f>SUM(C7-D7-E7-F7-G7-H7-I7)</f>
        <v>0</v>
      </c>
    </row>
    <row r="8" spans="1:10" ht="12.75">
      <c r="A8" s="112"/>
      <c r="B8" s="111" t="s">
        <v>31</v>
      </c>
      <c r="C8" s="27">
        <v>13738130</v>
      </c>
      <c r="D8" s="27">
        <v>4984819</v>
      </c>
      <c r="E8" s="27">
        <v>6748698</v>
      </c>
      <c r="F8" s="27">
        <v>0</v>
      </c>
      <c r="G8" s="27"/>
      <c r="H8" s="27"/>
      <c r="I8" s="27">
        <f>SUM((C8-D8)*0.152158)</f>
        <v>1331886.2951379998</v>
      </c>
      <c r="J8" s="27">
        <f>SUM(C8-D8-E8-F8-G8-H8-I8)</f>
        <v>672726.7048620002</v>
      </c>
    </row>
    <row r="9" spans="1:10" ht="12.75">
      <c r="A9" s="112"/>
      <c r="B9" s="111" t="s">
        <v>32</v>
      </c>
      <c r="C9" s="27">
        <v>79150831</v>
      </c>
      <c r="D9" s="27">
        <v>0</v>
      </c>
      <c r="E9" s="27">
        <f>SUM(C9*0.90935)</f>
        <v>71975808.16985</v>
      </c>
      <c r="F9" s="27">
        <v>0</v>
      </c>
      <c r="G9" s="27"/>
      <c r="H9" s="27"/>
      <c r="I9" s="27">
        <v>0</v>
      </c>
      <c r="J9" s="27">
        <f>SUM(C9-D9-E9-F9-G9-H9-I9)</f>
        <v>7175022.830149993</v>
      </c>
    </row>
    <row r="10" spans="1:10" ht="12.75">
      <c r="A10" s="112"/>
      <c r="B10" s="111" t="s">
        <v>33</v>
      </c>
      <c r="C10" s="27">
        <v>17977250</v>
      </c>
      <c r="D10" s="27">
        <v>0</v>
      </c>
      <c r="E10" s="27">
        <f>SUM(C10*0.90935)</f>
        <v>16347612.2875</v>
      </c>
      <c r="F10" s="27">
        <v>0</v>
      </c>
      <c r="G10" s="27"/>
      <c r="H10" s="27"/>
      <c r="I10" s="27">
        <v>0</v>
      </c>
      <c r="J10" s="27">
        <f>SUM(C10-D10-E10-F10-G10-H10-I10)</f>
        <v>1629637.7125000004</v>
      </c>
    </row>
    <row r="11" spans="1:10" s="38" customFormat="1" ht="12.75">
      <c r="A11" s="113"/>
      <c r="B11" s="114" t="s">
        <v>34</v>
      </c>
      <c r="C11" s="28">
        <f aca="true" t="shared" si="0" ref="C11:I11">SUM(C7:C10)</f>
        <v>935833308</v>
      </c>
      <c r="D11" s="28">
        <f t="shared" si="0"/>
        <v>4984819</v>
      </c>
      <c r="E11" s="28">
        <v>95072118</v>
      </c>
      <c r="F11" s="28">
        <f t="shared" si="0"/>
        <v>501344465.5104</v>
      </c>
      <c r="G11" s="28">
        <f t="shared" si="0"/>
        <v>319025454.4896</v>
      </c>
      <c r="H11" s="28">
        <f>SUM(H7:H10)</f>
        <v>4597177</v>
      </c>
      <c r="I11" s="28">
        <f t="shared" si="0"/>
        <v>1331886.2951379998</v>
      </c>
      <c r="J11" s="28">
        <v>9477388</v>
      </c>
    </row>
    <row r="12" spans="1:10" ht="12.75">
      <c r="A12" s="112"/>
      <c r="B12" s="112"/>
      <c r="C12" s="47"/>
      <c r="D12" s="47"/>
      <c r="E12" s="47"/>
      <c r="F12" s="47"/>
      <c r="G12" s="47"/>
      <c r="H12" s="47"/>
      <c r="I12" s="47"/>
      <c r="J12" s="47"/>
    </row>
    <row r="13" spans="1:10" ht="12.75">
      <c r="A13" s="87" t="s">
        <v>2</v>
      </c>
      <c r="B13" s="111" t="s">
        <v>30</v>
      </c>
      <c r="C13" s="27">
        <v>194647895</v>
      </c>
      <c r="D13" s="27">
        <v>0</v>
      </c>
      <c r="E13" s="27">
        <v>0</v>
      </c>
      <c r="F13" s="27">
        <f>SUM((C13-H13-J13)*0.77273)</f>
        <v>147422430.85808</v>
      </c>
      <c r="G13" s="27">
        <f>SUM(C13-H13-J13-F13)</f>
        <v>43358865.14192</v>
      </c>
      <c r="H13" s="27">
        <v>566203</v>
      </c>
      <c r="I13" s="27">
        <v>0</v>
      </c>
      <c r="J13" s="27">
        <v>3300396</v>
      </c>
    </row>
    <row r="14" spans="1:10" ht="12.75">
      <c r="A14" s="112"/>
      <c r="B14" s="111" t="s">
        <v>31</v>
      </c>
      <c r="C14" s="27">
        <v>2245261</v>
      </c>
      <c r="D14" s="27">
        <v>475330</v>
      </c>
      <c r="E14" s="27">
        <f>SUM((C14-D14)*0.834557)</f>
        <v>1477108.305567</v>
      </c>
      <c r="F14" s="27">
        <v>0</v>
      </c>
      <c r="G14" s="27">
        <v>0</v>
      </c>
      <c r="H14" s="27"/>
      <c r="I14" s="27">
        <f>SUM((C14-D14)*0.107781)</f>
        <v>190764.933111</v>
      </c>
      <c r="J14" s="27">
        <f>SUM(C14-D14-E14-F14-G14-H14-I14)</f>
        <v>102057.76132199995</v>
      </c>
    </row>
    <row r="15" spans="1:10" ht="12.75">
      <c r="A15" s="112"/>
      <c r="B15" s="111" t="s">
        <v>32</v>
      </c>
      <c r="C15" s="27">
        <v>17421043</v>
      </c>
      <c r="D15" s="27">
        <v>0</v>
      </c>
      <c r="E15" s="27">
        <f>SUM(C15*0.93537)</f>
        <v>16295120.990910001</v>
      </c>
      <c r="F15" s="27">
        <v>0</v>
      </c>
      <c r="G15" s="27"/>
      <c r="H15" s="27"/>
      <c r="I15" s="27">
        <v>0</v>
      </c>
      <c r="J15" s="27">
        <f>SUM(C15-D15-E15-F15-G15-H15-I15)</f>
        <v>1125922.009089999</v>
      </c>
    </row>
    <row r="16" spans="1:10" ht="12.75">
      <c r="A16" s="112"/>
      <c r="B16" s="111" t="s">
        <v>33</v>
      </c>
      <c r="C16" s="27">
        <v>3632209</v>
      </c>
      <c r="D16" s="27">
        <v>0</v>
      </c>
      <c r="E16" s="27">
        <f>SUM(C16*0.93537)</f>
        <v>3397459.33233</v>
      </c>
      <c r="F16" s="27">
        <v>0</v>
      </c>
      <c r="G16" s="27"/>
      <c r="H16" s="27"/>
      <c r="I16" s="27">
        <v>0</v>
      </c>
      <c r="J16" s="27">
        <f>SUM(C16-D16-E16-F16-G16-H16-I16)</f>
        <v>234749.66766999988</v>
      </c>
    </row>
    <row r="17" spans="1:10" s="38" customFormat="1" ht="12.75">
      <c r="A17" s="113"/>
      <c r="B17" s="114" t="s">
        <v>34</v>
      </c>
      <c r="C17" s="28">
        <f aca="true" t="shared" si="1" ref="C17:I17">SUM(C13:C16)</f>
        <v>217946408</v>
      </c>
      <c r="D17" s="28">
        <f t="shared" si="1"/>
        <v>475330</v>
      </c>
      <c r="E17" s="28">
        <v>21169688</v>
      </c>
      <c r="F17" s="28">
        <f t="shared" si="1"/>
        <v>147422430.85808</v>
      </c>
      <c r="G17" s="28">
        <f t="shared" si="1"/>
        <v>43358865.14192</v>
      </c>
      <c r="H17" s="28">
        <f>SUM(H13:H16)</f>
        <v>566203</v>
      </c>
      <c r="I17" s="28">
        <f t="shared" si="1"/>
        <v>190764.933111</v>
      </c>
      <c r="J17" s="28">
        <v>4763126</v>
      </c>
    </row>
    <row r="18" spans="1:10" s="15" customFormat="1" ht="12.75">
      <c r="A18" s="112"/>
      <c r="B18" s="112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87" t="s">
        <v>3</v>
      </c>
      <c r="B19" s="111" t="s">
        <v>30</v>
      </c>
      <c r="C19" s="27">
        <v>158517454</v>
      </c>
      <c r="D19" s="27">
        <v>0</v>
      </c>
      <c r="E19" s="27">
        <v>0</v>
      </c>
      <c r="F19" s="27">
        <f>SUM((C19-H19)*0.72223)</f>
        <v>114196020.45672001</v>
      </c>
      <c r="G19" s="27">
        <f>SUM(C19-F19-H19)</f>
        <v>43919843.54327999</v>
      </c>
      <c r="H19" s="27">
        <v>401590</v>
      </c>
      <c r="I19" s="27">
        <v>0</v>
      </c>
      <c r="J19" s="27">
        <f>SUM(C19-D19-E19-F19-G19-H19-I19)</f>
        <v>0</v>
      </c>
    </row>
    <row r="20" spans="1:10" ht="12.75">
      <c r="A20" s="112"/>
      <c r="B20" s="111" t="s">
        <v>31</v>
      </c>
      <c r="C20" s="27">
        <v>589993</v>
      </c>
      <c r="D20" s="27">
        <v>87713</v>
      </c>
      <c r="E20" s="27">
        <f>SUM((C20-D20)*0.77883)</f>
        <v>391190.73240000004</v>
      </c>
      <c r="F20" s="27">
        <v>0</v>
      </c>
      <c r="G20" s="27">
        <v>0</v>
      </c>
      <c r="H20" s="27">
        <f>SUM(G20)</f>
        <v>0</v>
      </c>
      <c r="I20" s="27">
        <f>SUM((C20-D20)*0.151692)</f>
        <v>76191.85776</v>
      </c>
      <c r="J20" s="27">
        <f>SUM(C20-D20-E20-F20-G20-H20-I20)</f>
        <v>34897.409839999964</v>
      </c>
    </row>
    <row r="21" spans="1:10" ht="12.75">
      <c r="A21" s="112"/>
      <c r="B21" s="111" t="s">
        <v>32</v>
      </c>
      <c r="C21" s="27">
        <v>10887221</v>
      </c>
      <c r="D21" s="27">
        <v>0</v>
      </c>
      <c r="E21" s="27">
        <f>SUM(C21*0.9181)</f>
        <v>9995557.6001</v>
      </c>
      <c r="F21" s="27">
        <v>0</v>
      </c>
      <c r="G21" s="27">
        <v>0</v>
      </c>
      <c r="H21" s="27">
        <f>SUM(G21)</f>
        <v>0</v>
      </c>
      <c r="I21" s="27">
        <v>0</v>
      </c>
      <c r="J21" s="27">
        <f>SUM(C21-D21-E21-F21-G21-H21-I21)</f>
        <v>891663.3999000005</v>
      </c>
    </row>
    <row r="22" spans="1:10" ht="12.75">
      <c r="A22" s="112"/>
      <c r="B22" s="111" t="s">
        <v>33</v>
      </c>
      <c r="C22" s="27">
        <v>2690185</v>
      </c>
      <c r="D22" s="27">
        <v>0</v>
      </c>
      <c r="E22" s="27">
        <f>SUM(C22*0.9181)</f>
        <v>2469858.8485</v>
      </c>
      <c r="F22" s="27">
        <v>0</v>
      </c>
      <c r="G22" s="27">
        <v>0</v>
      </c>
      <c r="H22" s="27">
        <f>SUM(G22)</f>
        <v>0</v>
      </c>
      <c r="I22" s="27">
        <v>0</v>
      </c>
      <c r="J22" s="27">
        <f>SUM(C22-D22-E22-F22-G22-H22-I22)</f>
        <v>220326.15150000015</v>
      </c>
    </row>
    <row r="23" spans="1:10" s="38" customFormat="1" ht="12.75">
      <c r="A23" s="113"/>
      <c r="B23" s="114" t="s">
        <v>34</v>
      </c>
      <c r="C23" s="28">
        <f aca="true" t="shared" si="2" ref="C23:I23">SUM(C19:C22)</f>
        <v>172684853</v>
      </c>
      <c r="D23" s="28">
        <f t="shared" si="2"/>
        <v>87713</v>
      </c>
      <c r="E23" s="28">
        <v>12856608</v>
      </c>
      <c r="F23" s="28">
        <f t="shared" si="2"/>
        <v>114196020.45672001</v>
      </c>
      <c r="G23" s="28">
        <f t="shared" si="2"/>
        <v>43919843.54327999</v>
      </c>
      <c r="H23" s="28">
        <f>SUM(H19:H22)</f>
        <v>401590</v>
      </c>
      <c r="I23" s="28">
        <f t="shared" si="2"/>
        <v>76191.85776</v>
      </c>
      <c r="J23" s="28">
        <v>1146886</v>
      </c>
    </row>
    <row r="24" spans="1:10" s="15" customFormat="1" ht="12.75">
      <c r="A24" s="112"/>
      <c r="B24" s="112"/>
      <c r="C24" s="47"/>
      <c r="D24" s="47"/>
      <c r="E24" s="47"/>
      <c r="F24" s="47"/>
      <c r="G24" s="47"/>
      <c r="H24" s="47"/>
      <c r="I24" s="47"/>
      <c r="J24" s="47"/>
    </row>
    <row r="25" spans="1:10" ht="12.75">
      <c r="A25" s="87" t="s">
        <v>4</v>
      </c>
      <c r="B25" s="111" t="s">
        <v>30</v>
      </c>
      <c r="C25" s="27">
        <v>176480041</v>
      </c>
      <c r="D25" s="27">
        <v>0</v>
      </c>
      <c r="E25" s="27">
        <v>0</v>
      </c>
      <c r="F25" s="27">
        <f>SUM((C25-H25)*0.62163)</f>
        <v>109432359.99207</v>
      </c>
      <c r="G25" s="27">
        <f>SUM(C25-F25-H25)</f>
        <v>66608629.007929996</v>
      </c>
      <c r="H25" s="27">
        <v>439052</v>
      </c>
      <c r="I25" s="27">
        <v>0</v>
      </c>
      <c r="J25" s="27">
        <f>SUM(C25-D25-E25-F25-G25-H25-I25)</f>
        <v>0</v>
      </c>
    </row>
    <row r="26" spans="1:10" ht="12.75">
      <c r="A26" s="112"/>
      <c r="B26" s="111" t="s">
        <v>31</v>
      </c>
      <c r="C26" s="27">
        <v>1447462</v>
      </c>
      <c r="D26" s="27">
        <v>527445</v>
      </c>
      <c r="E26" s="27">
        <f>SUM(C26-D26)</f>
        <v>920017</v>
      </c>
      <c r="F26" s="27">
        <v>0</v>
      </c>
      <c r="G26" s="27"/>
      <c r="H26" s="27">
        <f>SUM(G26)</f>
        <v>0</v>
      </c>
      <c r="I26" s="27">
        <v>0</v>
      </c>
      <c r="J26" s="27">
        <f aca="true" t="shared" si="3" ref="J26:J34">SUM(C26-D26-E26-F26-G26-H26-I26)</f>
        <v>0</v>
      </c>
    </row>
    <row r="27" spans="1:10" ht="12.75">
      <c r="A27" s="112"/>
      <c r="B27" s="111" t="s">
        <v>32</v>
      </c>
      <c r="C27" s="27">
        <v>13744571</v>
      </c>
      <c r="D27" s="27">
        <v>0</v>
      </c>
      <c r="E27" s="27">
        <f>SUM(C27)</f>
        <v>13744571</v>
      </c>
      <c r="F27" s="27">
        <v>0</v>
      </c>
      <c r="G27" s="27"/>
      <c r="H27" s="27">
        <f>SUM(G27)</f>
        <v>0</v>
      </c>
      <c r="I27" s="27">
        <v>0</v>
      </c>
      <c r="J27" s="27">
        <f t="shared" si="3"/>
        <v>0</v>
      </c>
    </row>
    <row r="28" spans="1:10" ht="12.75">
      <c r="A28" s="112"/>
      <c r="B28" s="111" t="s">
        <v>33</v>
      </c>
      <c r="C28" s="27">
        <v>3105000</v>
      </c>
      <c r="D28" s="27">
        <v>0</v>
      </c>
      <c r="E28" s="27">
        <f>SUM(C28)</f>
        <v>3105000</v>
      </c>
      <c r="F28" s="27">
        <v>0</v>
      </c>
      <c r="G28" s="27"/>
      <c r="H28" s="27">
        <f>SUM(G28)</f>
        <v>0</v>
      </c>
      <c r="I28" s="27">
        <v>0</v>
      </c>
      <c r="J28" s="27">
        <f t="shared" si="3"/>
        <v>0</v>
      </c>
    </row>
    <row r="29" spans="1:10" s="38" customFormat="1" ht="12.75">
      <c r="A29" s="113"/>
      <c r="B29" s="114" t="s">
        <v>34</v>
      </c>
      <c r="C29" s="28">
        <f aca="true" t="shared" si="4" ref="C29:I29">SUM(C25:C28)</f>
        <v>194777074</v>
      </c>
      <c r="D29" s="28">
        <f t="shared" si="4"/>
        <v>527445</v>
      </c>
      <c r="E29" s="28">
        <f t="shared" si="4"/>
        <v>17769588</v>
      </c>
      <c r="F29" s="28">
        <f t="shared" si="4"/>
        <v>109432359.99207</v>
      </c>
      <c r="G29" s="28">
        <f t="shared" si="4"/>
        <v>66608629.007929996</v>
      </c>
      <c r="H29" s="28">
        <f>SUM(H25:H28)</f>
        <v>439052</v>
      </c>
      <c r="I29" s="28">
        <f t="shared" si="4"/>
        <v>0</v>
      </c>
      <c r="J29" s="27">
        <f>SUM(J25:J28)</f>
        <v>0</v>
      </c>
    </row>
    <row r="30" spans="1:10" s="15" customFormat="1" ht="12.75">
      <c r="A30" s="112"/>
      <c r="B30" s="112"/>
      <c r="C30" s="47"/>
      <c r="D30" s="47"/>
      <c r="E30" s="47"/>
      <c r="F30" s="47"/>
      <c r="G30" s="47"/>
      <c r="H30" s="47"/>
      <c r="I30" s="47"/>
      <c r="J30" s="27"/>
    </row>
    <row r="31" spans="1:10" ht="12.75">
      <c r="A31" s="115" t="s">
        <v>5</v>
      </c>
      <c r="B31" s="111" t="s">
        <v>30</v>
      </c>
      <c r="C31" s="27">
        <v>54427520</v>
      </c>
      <c r="D31" s="27">
        <v>0</v>
      </c>
      <c r="E31" s="27">
        <v>0</v>
      </c>
      <c r="F31" s="27">
        <f>SUM((C31-H31)*0.77778)</f>
        <v>42192895.88412</v>
      </c>
      <c r="G31" s="27">
        <f>SUM(C31-F31-H31)</f>
        <v>12054958.115879998</v>
      </c>
      <c r="H31" s="27">
        <v>179666</v>
      </c>
      <c r="I31" s="27">
        <v>0</v>
      </c>
      <c r="J31" s="27">
        <f t="shared" si="3"/>
        <v>0</v>
      </c>
    </row>
    <row r="32" spans="1:10" ht="12.75">
      <c r="A32" s="112"/>
      <c r="B32" s="111" t="s">
        <v>31</v>
      </c>
      <c r="C32" s="27">
        <v>1055078</v>
      </c>
      <c r="D32" s="27">
        <v>191956</v>
      </c>
      <c r="E32" s="27">
        <f>SUM((C32-D32)*0.832212)</f>
        <v>718300.4858639999</v>
      </c>
      <c r="F32" s="27">
        <v>0</v>
      </c>
      <c r="G32" s="27"/>
      <c r="H32" s="27">
        <v>0</v>
      </c>
      <c r="I32" s="27">
        <f>SUM((C32-D32)*0.111702)</f>
        <v>96412.453644</v>
      </c>
      <c r="J32" s="27">
        <v>48410</v>
      </c>
    </row>
    <row r="33" spans="1:10" ht="12.75">
      <c r="A33" s="112"/>
      <c r="B33" s="111" t="s">
        <v>32</v>
      </c>
      <c r="C33" s="27">
        <v>10415784</v>
      </c>
      <c r="D33" s="27">
        <v>0</v>
      </c>
      <c r="E33" s="27">
        <f>SUM(C33*0.93686)</f>
        <v>9758131.39824</v>
      </c>
      <c r="F33" s="27">
        <v>0</v>
      </c>
      <c r="G33" s="27"/>
      <c r="H33" s="27">
        <v>0</v>
      </c>
      <c r="I33" s="27">
        <v>0</v>
      </c>
      <c r="J33" s="27">
        <f t="shared" si="3"/>
        <v>657652.60176</v>
      </c>
    </row>
    <row r="34" spans="1:10" ht="12.75">
      <c r="A34" s="112"/>
      <c r="B34" s="111" t="s">
        <v>33</v>
      </c>
      <c r="C34" s="27">
        <v>1681146</v>
      </c>
      <c r="D34" s="27">
        <v>0</v>
      </c>
      <c r="E34" s="27">
        <f>SUM(C34*0.93686)</f>
        <v>1574998.44156</v>
      </c>
      <c r="F34" s="27">
        <v>0</v>
      </c>
      <c r="G34" s="27"/>
      <c r="H34" s="27">
        <v>0</v>
      </c>
      <c r="I34" s="27">
        <v>0</v>
      </c>
      <c r="J34" s="27">
        <f t="shared" si="3"/>
        <v>106147.55844000005</v>
      </c>
    </row>
    <row r="35" spans="1:10" s="38" customFormat="1" ht="12.75">
      <c r="A35" s="113"/>
      <c r="B35" s="114" t="s">
        <v>34</v>
      </c>
      <c r="C35" s="28">
        <f aca="true" t="shared" si="5" ref="C35:I35">SUM(C31:C34)</f>
        <v>67579528</v>
      </c>
      <c r="D35" s="28">
        <f t="shared" si="5"/>
        <v>191956</v>
      </c>
      <c r="E35" s="28">
        <v>12051429</v>
      </c>
      <c r="F35" s="28">
        <f t="shared" si="5"/>
        <v>42192895.88412</v>
      </c>
      <c r="G35" s="28">
        <f t="shared" si="5"/>
        <v>12054958.115879998</v>
      </c>
      <c r="H35" s="28">
        <f>SUM(H31:H34)</f>
        <v>179666</v>
      </c>
      <c r="I35" s="28">
        <f t="shared" si="5"/>
        <v>96412.453644</v>
      </c>
      <c r="J35" s="28">
        <v>812211</v>
      </c>
    </row>
    <row r="36" spans="1:10" s="15" customFormat="1" ht="12.75">
      <c r="A36" s="112"/>
      <c r="B36" s="112"/>
      <c r="C36" s="47"/>
      <c r="D36" s="47"/>
      <c r="E36" s="47"/>
      <c r="F36" s="47"/>
      <c r="G36" s="47"/>
      <c r="H36" s="47"/>
      <c r="I36" s="47"/>
      <c r="J36" s="47"/>
    </row>
    <row r="37" spans="1:10" ht="12.75">
      <c r="A37" s="87" t="s">
        <v>6</v>
      </c>
      <c r="B37" s="111" t="s">
        <v>30</v>
      </c>
      <c r="C37" s="27">
        <v>107671781</v>
      </c>
      <c r="D37" s="27">
        <v>0</v>
      </c>
      <c r="E37" s="27">
        <v>0</v>
      </c>
      <c r="F37" s="27">
        <f>SUM((C37-H37-J37)*0.76191)</f>
        <v>79391057.04786</v>
      </c>
      <c r="G37" s="27">
        <f>SUM(C37-J37-H37-F37)</f>
        <v>24808988.952140003</v>
      </c>
      <c r="H37" s="27">
        <v>351509</v>
      </c>
      <c r="I37" s="27">
        <v>0</v>
      </c>
      <c r="J37" s="27">
        <v>3120226</v>
      </c>
    </row>
    <row r="38" spans="1:10" ht="12.75">
      <c r="A38" s="112"/>
      <c r="B38" s="111" t="s">
        <v>31</v>
      </c>
      <c r="C38" s="27">
        <v>276444</v>
      </c>
      <c r="D38" s="27">
        <v>50000</v>
      </c>
      <c r="E38" s="27">
        <f>SUM((C38-D38)*0.822973)</f>
        <v>186357.29801199998</v>
      </c>
      <c r="F38" s="27">
        <v>0</v>
      </c>
      <c r="G38" s="27"/>
      <c r="H38" s="27">
        <v>0</v>
      </c>
      <c r="I38" s="27">
        <f>SUM((C38-D38)*0.116312)</f>
        <v>26338.154528</v>
      </c>
      <c r="J38" s="27">
        <f>SUM(C38-D38-E38-F38-G38-H38-I38)</f>
        <v>13748.547460000016</v>
      </c>
    </row>
    <row r="39" spans="1:10" ht="12.75">
      <c r="A39" s="112"/>
      <c r="B39" s="111" t="s">
        <v>32</v>
      </c>
      <c r="C39" s="27">
        <v>10490337</v>
      </c>
      <c r="D39" s="27">
        <v>0</v>
      </c>
      <c r="E39" s="27">
        <f>SUM(C39*0.931293)</f>
        <v>9769577.415741</v>
      </c>
      <c r="F39" s="27">
        <v>0</v>
      </c>
      <c r="G39" s="27"/>
      <c r="H39" s="27">
        <v>0</v>
      </c>
      <c r="I39" s="27">
        <v>0</v>
      </c>
      <c r="J39" s="27">
        <f>SUM(C39-D39-E39-F39-G39-H39-I39)</f>
        <v>720759.5842589997</v>
      </c>
    </row>
    <row r="40" spans="1:10" ht="12.75">
      <c r="A40" s="112"/>
      <c r="B40" s="111" t="s">
        <v>33</v>
      </c>
      <c r="C40" s="27">
        <v>1508284</v>
      </c>
      <c r="D40" s="27">
        <v>0</v>
      </c>
      <c r="E40" s="27">
        <f>SUM(C40*0.931293)</f>
        <v>1404654.331212</v>
      </c>
      <c r="F40" s="27">
        <v>0</v>
      </c>
      <c r="G40" s="27"/>
      <c r="H40" s="27">
        <v>0</v>
      </c>
      <c r="I40" s="27">
        <v>0</v>
      </c>
      <c r="J40" s="27">
        <f>SUM(C40-D40-E40-F40-G40-H40-I40)</f>
        <v>103629.66878800001</v>
      </c>
    </row>
    <row r="41" spans="1:10" s="38" customFormat="1" ht="12.75">
      <c r="A41" s="113"/>
      <c r="B41" s="114" t="s">
        <v>34</v>
      </c>
      <c r="C41" s="28">
        <f aca="true" t="shared" si="6" ref="C41:I41">SUM(C37:C40)</f>
        <v>119946846</v>
      </c>
      <c r="D41" s="28">
        <f t="shared" si="6"/>
        <v>50000</v>
      </c>
      <c r="E41" s="28">
        <v>11360588</v>
      </c>
      <c r="F41" s="28">
        <f t="shared" si="6"/>
        <v>79391057.04786</v>
      </c>
      <c r="G41" s="28">
        <f t="shared" si="6"/>
        <v>24808988.952140003</v>
      </c>
      <c r="H41" s="28">
        <f>SUM(H37:H40)</f>
        <v>351509</v>
      </c>
      <c r="I41" s="28">
        <f t="shared" si="6"/>
        <v>26338.154528</v>
      </c>
      <c r="J41" s="28">
        <v>3958365</v>
      </c>
    </row>
    <row r="42" spans="1:10" s="15" customFormat="1" ht="12.75">
      <c r="A42" s="112"/>
      <c r="B42" s="112"/>
      <c r="C42" s="47"/>
      <c r="D42" s="47"/>
      <c r="E42" s="47"/>
      <c r="F42" s="47"/>
      <c r="G42" s="47"/>
      <c r="H42" s="47"/>
      <c r="I42" s="47"/>
      <c r="J42" s="47"/>
    </row>
    <row r="43" spans="1:10" s="78" customFormat="1" ht="12.75">
      <c r="A43" s="80" t="s">
        <v>7</v>
      </c>
      <c r="B43" s="116" t="s">
        <v>30</v>
      </c>
      <c r="C43" s="77">
        <f aca="true" t="shared" si="7" ref="C43:J43">SUM(C7+C13+C19+C25+C31+C37)</f>
        <v>1516711788</v>
      </c>
      <c r="D43" s="77">
        <f t="shared" si="7"/>
        <v>0</v>
      </c>
      <c r="E43" s="77">
        <f t="shared" si="7"/>
        <v>0</v>
      </c>
      <c r="F43" s="77">
        <f t="shared" si="7"/>
        <v>993979229.7492499</v>
      </c>
      <c r="G43" s="77">
        <f t="shared" si="7"/>
        <v>509776739.25075006</v>
      </c>
      <c r="H43" s="77">
        <f t="shared" si="7"/>
        <v>6535197</v>
      </c>
      <c r="I43" s="77">
        <f t="shared" si="7"/>
        <v>0</v>
      </c>
      <c r="J43" s="77">
        <f t="shared" si="7"/>
        <v>6420622</v>
      </c>
    </row>
    <row r="44" spans="1:10" s="78" customFormat="1" ht="12.75">
      <c r="A44" s="83"/>
      <c r="B44" s="116" t="s">
        <v>31</v>
      </c>
      <c r="C44" s="77">
        <f>SUM(C8+C14+C20+C26+C32+C38)</f>
        <v>19352368</v>
      </c>
      <c r="D44" s="77">
        <f>SUM(D8+D14+D20+D26+D32+D38)</f>
        <v>6317263</v>
      </c>
      <c r="E44" s="77">
        <v>10441671</v>
      </c>
      <c r="F44" s="77">
        <f>SUM(F8+F14+F20+F26+F32+F38)</f>
        <v>0</v>
      </c>
      <c r="G44" s="77">
        <f>SUM(G8+G14+G20+G26+G32+G38)</f>
        <v>0</v>
      </c>
      <c r="H44" s="77">
        <f>SUM(H8+H14+H20+H26+H32+H38)</f>
        <v>0</v>
      </c>
      <c r="I44" s="77">
        <v>1721593</v>
      </c>
      <c r="J44" s="77">
        <v>871841</v>
      </c>
    </row>
    <row r="45" spans="1:10" s="78" customFormat="1" ht="12.75">
      <c r="A45" s="83"/>
      <c r="B45" s="116" t="s">
        <v>32</v>
      </c>
      <c r="C45" s="77">
        <f>SUM(C9+C15+C21+C27+C33+C39)</f>
        <v>142109787</v>
      </c>
      <c r="D45" s="77">
        <f>SUM(D9+D15+D21+D27+D33+D39)</f>
        <v>0</v>
      </c>
      <c r="E45" s="77">
        <v>131538766</v>
      </c>
      <c r="F45" s="77">
        <f>SUM(F9+F15+F21+F27+F33+F39)</f>
        <v>0</v>
      </c>
      <c r="G45" s="77">
        <f>SUM(G9+G15+G21+G27+G33+G39)</f>
        <v>0</v>
      </c>
      <c r="H45" s="77">
        <f>SUM(H9+H15+H21+H27+H33+H39)</f>
        <v>0</v>
      </c>
      <c r="I45" s="77">
        <f>SUM(I9+I15+I21+I27+I33+I39)</f>
        <v>0</v>
      </c>
      <c r="J45" s="77">
        <v>10571021</v>
      </c>
    </row>
    <row r="46" spans="1:10" s="78" customFormat="1" ht="12.75">
      <c r="A46" s="83"/>
      <c r="B46" s="116" t="s">
        <v>33</v>
      </c>
      <c r="C46" s="77">
        <f>SUM(C10+C16+C22+C28+C34+C40)</f>
        <v>30594074</v>
      </c>
      <c r="D46" s="77">
        <f aca="true" t="shared" si="8" ref="D46:I46">SUM(D10+D16+D22+D28+D34+D40)</f>
        <v>0</v>
      </c>
      <c r="E46" s="77">
        <v>28299582</v>
      </c>
      <c r="F46" s="77">
        <f t="shared" si="8"/>
        <v>0</v>
      </c>
      <c r="G46" s="77">
        <f t="shared" si="8"/>
        <v>0</v>
      </c>
      <c r="H46" s="77">
        <f t="shared" si="8"/>
        <v>0</v>
      </c>
      <c r="I46" s="77">
        <f t="shared" si="8"/>
        <v>0</v>
      </c>
      <c r="J46" s="77">
        <v>2294492</v>
      </c>
    </row>
    <row r="47" spans="1:10" s="76" customFormat="1" ht="12.75">
      <c r="A47" s="118"/>
      <c r="B47" s="119" t="s">
        <v>34</v>
      </c>
      <c r="C47" s="75">
        <f>SUM(C43:C46)</f>
        <v>1708768017</v>
      </c>
      <c r="D47" s="53">
        <f>SUM(D11+D17+D23+D29+D35+D41)</f>
        <v>6317263</v>
      </c>
      <c r="E47" s="53">
        <f>SUM(E43:E46)</f>
        <v>170280019</v>
      </c>
      <c r="F47" s="53">
        <f>SUM(F11+F17+F23+F29+F35+F41)</f>
        <v>993979229.7492499</v>
      </c>
      <c r="G47" s="53">
        <f>SUM(G11+G17+G23+G29+G35+G41)</f>
        <v>509776739.25075006</v>
      </c>
      <c r="H47" s="53">
        <f>SUM(H11+H17+H23+H29+H35+H41)</f>
        <v>6535197</v>
      </c>
      <c r="I47" s="53">
        <v>1721593</v>
      </c>
      <c r="J47" s="53">
        <f>SUM(J43:J46)</f>
        <v>20157976</v>
      </c>
    </row>
  </sheetData>
  <mergeCells count="1">
    <mergeCell ref="F5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27.57421875" style="0" customWidth="1"/>
    <col min="3" max="3" width="17.421875" style="0" customWidth="1"/>
    <col min="4" max="4" width="19.140625" style="0" customWidth="1"/>
    <col min="5" max="5" width="20.140625" style="0" customWidth="1"/>
    <col min="6" max="6" width="15.140625" style="0" customWidth="1"/>
    <col min="7" max="7" width="15.8515625" style="0" customWidth="1"/>
  </cols>
  <sheetData>
    <row r="1" ht="12.75">
      <c r="A1" t="s">
        <v>63</v>
      </c>
    </row>
    <row r="3" spans="1:7" ht="15.75">
      <c r="A3" s="24" t="s">
        <v>162</v>
      </c>
      <c r="B3" s="24"/>
      <c r="C3" s="24"/>
      <c r="D3" s="24"/>
      <c r="E3" s="24"/>
      <c r="F3" s="24"/>
      <c r="G3" s="18"/>
    </row>
    <row r="4" spans="1:7" ht="12.75">
      <c r="A4" s="29"/>
      <c r="B4" s="29"/>
      <c r="C4" s="29"/>
      <c r="D4" s="29"/>
      <c r="E4" s="29"/>
      <c r="F4" s="29"/>
      <c r="G4" s="29"/>
    </row>
    <row r="5" spans="1:7" ht="15.75">
      <c r="A5" s="30" t="s">
        <v>21</v>
      </c>
      <c r="B5" s="25" t="s">
        <v>25</v>
      </c>
      <c r="C5" s="31" t="s">
        <v>26</v>
      </c>
      <c r="D5" s="31" t="s">
        <v>27</v>
      </c>
      <c r="E5" s="31" t="s">
        <v>87</v>
      </c>
      <c r="F5" s="25" t="s">
        <v>28</v>
      </c>
      <c r="G5" s="25" t="s">
        <v>29</v>
      </c>
    </row>
    <row r="6" spans="1:7" ht="12.75">
      <c r="A6" s="31" t="s">
        <v>1</v>
      </c>
      <c r="B6" s="32" t="s">
        <v>30</v>
      </c>
      <c r="C6" s="33">
        <v>845903737</v>
      </c>
      <c r="D6" s="27">
        <v>824967097</v>
      </c>
      <c r="E6" s="27">
        <f>SUM(D6-C6+F6)</f>
        <v>4597177</v>
      </c>
      <c r="F6" s="34">
        <v>25533817</v>
      </c>
      <c r="G6" s="35">
        <f>SUM(F6/C6)</f>
        <v>0.03018525144546087</v>
      </c>
    </row>
    <row r="7" spans="1:7" ht="12.75">
      <c r="A7" s="36"/>
      <c r="B7" s="32" t="s">
        <v>31</v>
      </c>
      <c r="C7" s="33">
        <v>15386849</v>
      </c>
      <c r="D7" s="27">
        <v>13738130</v>
      </c>
      <c r="E7" s="27">
        <f aca="true" t="shared" si="0" ref="E7:E46">SUM(D7-C7+F7)</f>
        <v>156550</v>
      </c>
      <c r="F7" s="33">
        <v>1805269</v>
      </c>
      <c r="G7" s="35">
        <f aca="true" t="shared" si="1" ref="G7:G46">SUM(F7/C7)</f>
        <v>0.1173254511043814</v>
      </c>
    </row>
    <row r="8" spans="1:7" ht="12.75">
      <c r="A8" s="37"/>
      <c r="B8" s="32" t="s">
        <v>32</v>
      </c>
      <c r="C8" s="27">
        <v>119070878</v>
      </c>
      <c r="D8" s="27">
        <v>79150831</v>
      </c>
      <c r="E8" s="27">
        <f t="shared" si="0"/>
        <v>0</v>
      </c>
      <c r="F8" s="27">
        <v>39920047</v>
      </c>
      <c r="G8" s="35">
        <f t="shared" si="1"/>
        <v>0.3352628927452773</v>
      </c>
    </row>
    <row r="9" spans="1:7" ht="12.75">
      <c r="A9" s="37"/>
      <c r="B9" s="32" t="s">
        <v>33</v>
      </c>
      <c r="C9" s="27">
        <v>17086385</v>
      </c>
      <c r="D9" s="27">
        <v>17977250</v>
      </c>
      <c r="E9" s="27">
        <f t="shared" si="0"/>
        <v>1723622</v>
      </c>
      <c r="F9" s="27">
        <v>832757</v>
      </c>
      <c r="G9" s="35">
        <f t="shared" si="1"/>
        <v>0.048738044940459906</v>
      </c>
    </row>
    <row r="10" spans="1:7" ht="12.75">
      <c r="A10" s="38"/>
      <c r="B10" s="39" t="s">
        <v>34</v>
      </c>
      <c r="C10" s="28">
        <f>SUM(C6:C9)</f>
        <v>997447849</v>
      </c>
      <c r="D10" s="28">
        <f>SUM(D6:D9)</f>
        <v>935833308</v>
      </c>
      <c r="E10" s="28">
        <f t="shared" si="0"/>
        <v>6477349</v>
      </c>
      <c r="F10" s="28">
        <f>SUM(F6:F9)</f>
        <v>68091890</v>
      </c>
      <c r="G10" s="40">
        <f t="shared" si="1"/>
        <v>0.06826611543477297</v>
      </c>
    </row>
    <row r="11" spans="1:7" ht="12.75">
      <c r="A11" s="29"/>
      <c r="E11" s="27">
        <f t="shared" si="0"/>
        <v>0</v>
      </c>
      <c r="G11" s="35"/>
    </row>
    <row r="12" spans="1:7" ht="12.75">
      <c r="A12" s="25" t="s">
        <v>2</v>
      </c>
      <c r="B12" s="32" t="s">
        <v>30</v>
      </c>
      <c r="C12" s="27">
        <v>201767088</v>
      </c>
      <c r="D12" s="27">
        <v>194647895</v>
      </c>
      <c r="E12" s="27">
        <f t="shared" si="0"/>
        <v>566203</v>
      </c>
      <c r="F12" s="27">
        <v>7685396</v>
      </c>
      <c r="G12" s="35">
        <f t="shared" si="1"/>
        <v>0.03809043425357856</v>
      </c>
    </row>
    <row r="13" spans="1:7" ht="12.75">
      <c r="A13" s="29"/>
      <c r="B13" s="32" t="s">
        <v>31</v>
      </c>
      <c r="C13" s="27">
        <v>2443956</v>
      </c>
      <c r="D13" s="27">
        <v>2245261</v>
      </c>
      <c r="E13" s="27">
        <f t="shared" si="0"/>
        <v>28665</v>
      </c>
      <c r="F13" s="27">
        <v>227360</v>
      </c>
      <c r="G13" s="35">
        <f t="shared" si="1"/>
        <v>0.09302949807607011</v>
      </c>
    </row>
    <row r="14" spans="1:7" ht="12.75">
      <c r="A14" s="29"/>
      <c r="B14" s="32" t="s">
        <v>32</v>
      </c>
      <c r="C14" s="27">
        <v>38575618</v>
      </c>
      <c r="D14" s="27">
        <v>17421043</v>
      </c>
      <c r="E14" s="27">
        <f t="shared" si="0"/>
        <v>0</v>
      </c>
      <c r="F14" s="27">
        <v>21154575</v>
      </c>
      <c r="G14" s="35">
        <f t="shared" si="1"/>
        <v>0.5483923809075463</v>
      </c>
    </row>
    <row r="15" spans="1:7" ht="12.75">
      <c r="A15" s="29"/>
      <c r="B15" s="32" t="s">
        <v>33</v>
      </c>
      <c r="C15" s="27">
        <v>3725793</v>
      </c>
      <c r="D15" s="27">
        <v>3632209</v>
      </c>
      <c r="E15" s="27">
        <f t="shared" si="0"/>
        <v>181746</v>
      </c>
      <c r="F15" s="27">
        <v>275330</v>
      </c>
      <c r="G15" s="35">
        <f t="shared" si="1"/>
        <v>0.07389836203997377</v>
      </c>
    </row>
    <row r="16" spans="1:7" ht="12.75">
      <c r="A16" s="29"/>
      <c r="B16" s="39" t="s">
        <v>34</v>
      </c>
      <c r="C16" s="28">
        <f>SUM(C12:C15)</f>
        <v>246512455</v>
      </c>
      <c r="D16" s="28">
        <f>SUM(D12:D15)</f>
        <v>217946408</v>
      </c>
      <c r="E16" s="28">
        <f t="shared" si="0"/>
        <v>776614</v>
      </c>
      <c r="F16" s="28">
        <f>SUM(F12:F15)</f>
        <v>29342661</v>
      </c>
      <c r="G16" s="40">
        <f t="shared" si="1"/>
        <v>0.11903114996765579</v>
      </c>
    </row>
    <row r="17" spans="1:7" ht="12.75">
      <c r="A17" s="29"/>
      <c r="E17" s="27">
        <f t="shared" si="0"/>
        <v>0</v>
      </c>
      <c r="G17" s="35"/>
    </row>
    <row r="18" spans="1:7" ht="12.75">
      <c r="A18" s="25" t="s">
        <v>3</v>
      </c>
      <c r="B18" s="32" t="s">
        <v>30</v>
      </c>
      <c r="C18" s="27">
        <v>163604722</v>
      </c>
      <c r="D18" s="27">
        <v>158517454</v>
      </c>
      <c r="E18" s="27">
        <f t="shared" si="0"/>
        <v>401590</v>
      </c>
      <c r="F18" s="27">
        <v>5488858</v>
      </c>
      <c r="G18" s="35">
        <f t="shared" si="1"/>
        <v>0.03354950843044738</v>
      </c>
    </row>
    <row r="19" spans="1:7" ht="12.75">
      <c r="A19" s="29"/>
      <c r="B19" s="32" t="s">
        <v>31</v>
      </c>
      <c r="C19" s="27">
        <v>851398</v>
      </c>
      <c r="D19" s="27">
        <v>589993</v>
      </c>
      <c r="E19" s="27">
        <f t="shared" si="0"/>
        <v>0</v>
      </c>
      <c r="F19" s="27">
        <v>261405</v>
      </c>
      <c r="G19" s="35">
        <f t="shared" si="1"/>
        <v>0.3070303195450306</v>
      </c>
    </row>
    <row r="20" spans="1:7" ht="12.75">
      <c r="A20" s="29"/>
      <c r="B20" s="32" t="s">
        <v>32</v>
      </c>
      <c r="C20" s="27">
        <v>18690833</v>
      </c>
      <c r="D20" s="27">
        <v>10887221</v>
      </c>
      <c r="E20" s="27">
        <f t="shared" si="0"/>
        <v>0</v>
      </c>
      <c r="F20" s="27">
        <v>7803612</v>
      </c>
      <c r="G20" s="35">
        <f t="shared" si="1"/>
        <v>0.4175101238131013</v>
      </c>
    </row>
    <row r="21" spans="1:7" ht="12.75">
      <c r="A21" s="29"/>
      <c r="B21" s="32" t="s">
        <v>33</v>
      </c>
      <c r="C21" s="27">
        <v>2831952</v>
      </c>
      <c r="D21" s="27">
        <v>2690185</v>
      </c>
      <c r="E21" s="27">
        <f>SUM(D21-C21+F21)</f>
        <v>605</v>
      </c>
      <c r="F21" s="27">
        <v>142372</v>
      </c>
      <c r="G21" s="35">
        <f t="shared" si="1"/>
        <v>0.05027345096244569</v>
      </c>
    </row>
    <row r="22" spans="1:7" ht="12.75">
      <c r="A22" s="29"/>
      <c r="B22" s="39" t="s">
        <v>34</v>
      </c>
      <c r="C22" s="28">
        <f>SUM(C18:C21)</f>
        <v>185978905</v>
      </c>
      <c r="D22" s="28">
        <f>SUM(D18:D21)</f>
        <v>172684853</v>
      </c>
      <c r="E22" s="28">
        <f t="shared" si="0"/>
        <v>402195</v>
      </c>
      <c r="F22" s="28">
        <f>SUM(F18:F21)</f>
        <v>13696247</v>
      </c>
      <c r="G22" s="40">
        <f t="shared" si="1"/>
        <v>0.07364408882824641</v>
      </c>
    </row>
    <row r="23" spans="1:7" ht="12.75">
      <c r="A23" s="29"/>
      <c r="E23" s="27">
        <f t="shared" si="0"/>
        <v>0</v>
      </c>
      <c r="G23" s="35"/>
    </row>
    <row r="24" spans="1:7" ht="12.75">
      <c r="A24" s="25" t="s">
        <v>4</v>
      </c>
      <c r="B24" s="32" t="s">
        <v>30</v>
      </c>
      <c r="C24" s="27">
        <v>183506020</v>
      </c>
      <c r="D24" s="27">
        <v>176480041</v>
      </c>
      <c r="E24" s="27">
        <f t="shared" si="0"/>
        <v>439052</v>
      </c>
      <c r="F24" s="27">
        <v>7465031</v>
      </c>
      <c r="G24" s="35">
        <f t="shared" si="1"/>
        <v>0.040680033276292514</v>
      </c>
    </row>
    <row r="25" spans="1:7" ht="12.75">
      <c r="A25" s="29"/>
      <c r="B25" s="32" t="s">
        <v>31</v>
      </c>
      <c r="C25" s="27">
        <v>1636162</v>
      </c>
      <c r="D25" s="27">
        <v>1447462</v>
      </c>
      <c r="E25" s="27">
        <f t="shared" si="0"/>
        <v>7064</v>
      </c>
      <c r="F25" s="27">
        <v>195764</v>
      </c>
      <c r="G25" s="35">
        <f t="shared" si="1"/>
        <v>0.11964829888482925</v>
      </c>
    </row>
    <row r="26" spans="1:7" ht="12.75">
      <c r="A26" s="29"/>
      <c r="B26" s="32" t="s">
        <v>32</v>
      </c>
      <c r="C26" s="27">
        <v>27255008</v>
      </c>
      <c r="D26" s="27">
        <v>13744571</v>
      </c>
      <c r="E26" s="27">
        <f t="shared" si="0"/>
        <v>0</v>
      </c>
      <c r="F26" s="27">
        <v>13510437</v>
      </c>
      <c r="G26" s="35">
        <f t="shared" si="1"/>
        <v>0.4957047526825162</v>
      </c>
    </row>
    <row r="27" spans="1:7" ht="12.75">
      <c r="A27" s="29"/>
      <c r="B27" s="32" t="s">
        <v>33</v>
      </c>
      <c r="C27" s="27">
        <v>2760000</v>
      </c>
      <c r="D27" s="27">
        <v>3105000</v>
      </c>
      <c r="E27" s="27">
        <f t="shared" si="0"/>
        <v>460000</v>
      </c>
      <c r="F27" s="27">
        <v>115000</v>
      </c>
      <c r="G27" s="35">
        <f t="shared" si="1"/>
        <v>0.041666666666666664</v>
      </c>
    </row>
    <row r="28" spans="1:7" ht="12.75">
      <c r="A28" s="29"/>
      <c r="B28" s="39" t="s">
        <v>34</v>
      </c>
      <c r="C28" s="28">
        <f>SUM(C24:C27)</f>
        <v>215157190</v>
      </c>
      <c r="D28" s="28">
        <f>SUM(D24:D27)</f>
        <v>194777074</v>
      </c>
      <c r="E28" s="28">
        <f t="shared" si="0"/>
        <v>906116</v>
      </c>
      <c r="F28" s="28">
        <f>SUM(F24:F27)</f>
        <v>21286232</v>
      </c>
      <c r="G28" s="40">
        <f t="shared" si="1"/>
        <v>0.09893339841443365</v>
      </c>
    </row>
    <row r="29" spans="1:7" ht="12.75">
      <c r="A29" s="29"/>
      <c r="E29" s="27">
        <f t="shared" si="0"/>
        <v>0</v>
      </c>
      <c r="G29" s="35"/>
    </row>
    <row r="30" spans="1:7" ht="12.75">
      <c r="A30" s="25" t="s">
        <v>5</v>
      </c>
      <c r="B30" s="32" t="s">
        <v>30</v>
      </c>
      <c r="C30" s="27">
        <v>57949514</v>
      </c>
      <c r="D30" s="27">
        <v>54427520</v>
      </c>
      <c r="E30" s="27">
        <f t="shared" si="0"/>
        <v>179666</v>
      </c>
      <c r="F30" s="27">
        <v>3701660</v>
      </c>
      <c r="G30" s="35">
        <f t="shared" si="1"/>
        <v>0.06387732604625468</v>
      </c>
    </row>
    <row r="31" spans="1:7" ht="12.75">
      <c r="A31" s="29"/>
      <c r="B31" s="32" t="s">
        <v>31</v>
      </c>
      <c r="C31" s="27">
        <v>1195674</v>
      </c>
      <c r="D31" s="27">
        <v>1055078</v>
      </c>
      <c r="E31" s="27">
        <f t="shared" si="0"/>
        <v>14764</v>
      </c>
      <c r="F31" s="27">
        <v>155360</v>
      </c>
      <c r="G31" s="35">
        <f t="shared" si="1"/>
        <v>0.12993508263958237</v>
      </c>
    </row>
    <row r="32" spans="1:7" ht="12.75">
      <c r="A32" s="29"/>
      <c r="B32" s="32" t="s">
        <v>32</v>
      </c>
      <c r="C32" s="27">
        <v>37629869</v>
      </c>
      <c r="D32" s="27">
        <v>10415784</v>
      </c>
      <c r="E32" s="27">
        <f t="shared" si="0"/>
        <v>0</v>
      </c>
      <c r="F32" s="27">
        <v>27214085</v>
      </c>
      <c r="G32" s="35">
        <f t="shared" si="1"/>
        <v>0.7232043513093283</v>
      </c>
    </row>
    <row r="33" spans="1:7" ht="12.75">
      <c r="A33" s="29"/>
      <c r="B33" s="32" t="s">
        <v>33</v>
      </c>
      <c r="C33" s="27">
        <v>1774543</v>
      </c>
      <c r="D33" s="27">
        <v>1681146</v>
      </c>
      <c r="E33" s="27">
        <f t="shared" si="0"/>
        <v>280191</v>
      </c>
      <c r="F33" s="27">
        <v>373588</v>
      </c>
      <c r="G33" s="35">
        <f t="shared" si="1"/>
        <v>0.21052631578947367</v>
      </c>
    </row>
    <row r="34" spans="1:7" ht="12.75">
      <c r="A34" s="29"/>
      <c r="B34" s="39" t="s">
        <v>34</v>
      </c>
      <c r="C34" s="28">
        <f>SUM(C30:C33)</f>
        <v>98549600</v>
      </c>
      <c r="D34" s="28">
        <f>SUM(D30:D33)</f>
        <v>67579528</v>
      </c>
      <c r="E34" s="28">
        <f t="shared" si="0"/>
        <v>474621</v>
      </c>
      <c r="F34" s="28">
        <f>SUM(F30:F33)</f>
        <v>31444693</v>
      </c>
      <c r="G34" s="40">
        <f t="shared" si="1"/>
        <v>0.3190747907652593</v>
      </c>
    </row>
    <row r="35" spans="1:7" ht="12.75">
      <c r="A35" s="29"/>
      <c r="E35" s="27">
        <f t="shared" si="0"/>
        <v>0</v>
      </c>
      <c r="G35" s="35"/>
    </row>
    <row r="36" spans="1:7" ht="12.75">
      <c r="A36" s="25" t="s">
        <v>6</v>
      </c>
      <c r="B36" s="32" t="s">
        <v>30</v>
      </c>
      <c r="C36" s="27">
        <v>113938330</v>
      </c>
      <c r="D36" s="27">
        <v>107671781</v>
      </c>
      <c r="E36" s="27">
        <f t="shared" si="0"/>
        <v>351509</v>
      </c>
      <c r="F36" s="27">
        <v>6618058</v>
      </c>
      <c r="G36" s="35">
        <f t="shared" si="1"/>
        <v>0.05808456206089733</v>
      </c>
    </row>
    <row r="37" spans="1:7" ht="12.75">
      <c r="A37" s="29"/>
      <c r="B37" s="32" t="s">
        <v>31</v>
      </c>
      <c r="C37" s="27">
        <v>430024</v>
      </c>
      <c r="D37" s="27">
        <v>276444</v>
      </c>
      <c r="E37" s="27">
        <f t="shared" si="0"/>
        <v>4388</v>
      </c>
      <c r="F37" s="27">
        <v>157968</v>
      </c>
      <c r="G37" s="35">
        <f t="shared" si="1"/>
        <v>0.3673469387755102</v>
      </c>
    </row>
    <row r="38" spans="1:7" ht="12.75">
      <c r="A38" s="29"/>
      <c r="B38" s="32" t="s">
        <v>32</v>
      </c>
      <c r="C38" s="27">
        <v>38868925</v>
      </c>
      <c r="D38" s="27">
        <v>10490337</v>
      </c>
      <c r="E38" s="27">
        <f t="shared" si="0"/>
        <v>0</v>
      </c>
      <c r="F38" s="27">
        <v>28378588</v>
      </c>
      <c r="G38" s="35">
        <f t="shared" si="1"/>
        <v>0.7301099271461714</v>
      </c>
    </row>
    <row r="39" spans="1:7" ht="12.75">
      <c r="A39" s="29"/>
      <c r="B39" s="32" t="s">
        <v>33</v>
      </c>
      <c r="C39" s="27">
        <v>1932795</v>
      </c>
      <c r="D39" s="27">
        <v>1508284</v>
      </c>
      <c r="E39" s="27">
        <f t="shared" si="0"/>
        <v>176803</v>
      </c>
      <c r="F39" s="27">
        <v>601314</v>
      </c>
      <c r="G39" s="35">
        <f t="shared" si="1"/>
        <v>0.3111111111111111</v>
      </c>
    </row>
    <row r="40" spans="1:7" ht="12.75">
      <c r="A40" s="29"/>
      <c r="B40" s="39" t="s">
        <v>34</v>
      </c>
      <c r="C40" s="28">
        <f>SUM(C36:C39)</f>
        <v>155170074</v>
      </c>
      <c r="D40" s="28">
        <f>SUM(D36:D39)</f>
        <v>119946846</v>
      </c>
      <c r="E40" s="28">
        <f t="shared" si="0"/>
        <v>532700</v>
      </c>
      <c r="F40" s="28">
        <f>SUM(F36:F39)</f>
        <v>35755928</v>
      </c>
      <c r="G40" s="40">
        <f t="shared" si="1"/>
        <v>0.2304305661412522</v>
      </c>
    </row>
    <row r="41" spans="1:7" ht="12.75">
      <c r="A41" s="29"/>
      <c r="E41" s="27">
        <f t="shared" si="0"/>
        <v>0</v>
      </c>
      <c r="G41" s="35"/>
    </row>
    <row r="42" spans="1:7" ht="12.75">
      <c r="A42" s="25" t="s">
        <v>7</v>
      </c>
      <c r="B42" s="32" t="s">
        <v>30</v>
      </c>
      <c r="C42" s="27">
        <f aca="true" t="shared" si="2" ref="C42:D45">SUM(C6+C12+C18+C24+C30+C36)</f>
        <v>1566669411</v>
      </c>
      <c r="D42" s="27">
        <f t="shared" si="2"/>
        <v>1516711788</v>
      </c>
      <c r="E42" s="27">
        <f t="shared" si="0"/>
        <v>6535197</v>
      </c>
      <c r="F42" s="27">
        <f>SUM(F6+F12+F18+F24+F30+F36)</f>
        <v>56492820</v>
      </c>
      <c r="G42" s="35">
        <f t="shared" si="1"/>
        <v>0.03605918364356193</v>
      </c>
    </row>
    <row r="43" spans="1:7" ht="12.75">
      <c r="A43" s="29"/>
      <c r="B43" s="32" t="s">
        <v>31</v>
      </c>
      <c r="C43" s="27">
        <f t="shared" si="2"/>
        <v>21944063</v>
      </c>
      <c r="D43" s="27">
        <f t="shared" si="2"/>
        <v>19352368</v>
      </c>
      <c r="E43" s="27">
        <f t="shared" si="0"/>
        <v>211431</v>
      </c>
      <c r="F43" s="27">
        <f>SUM(F7+F13+F19+F25+F31+F37)</f>
        <v>2803126</v>
      </c>
      <c r="G43" s="35">
        <f t="shared" si="1"/>
        <v>0.12773960774720708</v>
      </c>
    </row>
    <row r="44" spans="1:7" ht="12.75">
      <c r="A44" s="29"/>
      <c r="B44" s="32" t="s">
        <v>32</v>
      </c>
      <c r="C44" s="27">
        <f t="shared" si="2"/>
        <v>280091131</v>
      </c>
      <c r="D44" s="27">
        <f t="shared" si="2"/>
        <v>142109787</v>
      </c>
      <c r="E44" s="27">
        <f t="shared" si="0"/>
        <v>0</v>
      </c>
      <c r="F44" s="27">
        <f>SUM(F8+F14+F20+F26+F32+F38)</f>
        <v>137981344</v>
      </c>
      <c r="G44" s="35">
        <f t="shared" si="1"/>
        <v>0.49263017899699224</v>
      </c>
    </row>
    <row r="45" spans="1:7" ht="12.75">
      <c r="A45" s="29"/>
      <c r="B45" s="32" t="s">
        <v>33</v>
      </c>
      <c r="C45" s="27">
        <f t="shared" si="2"/>
        <v>30111468</v>
      </c>
      <c r="D45" s="27">
        <f t="shared" si="2"/>
        <v>30594074</v>
      </c>
      <c r="E45" s="27">
        <f t="shared" si="0"/>
        <v>2822967</v>
      </c>
      <c r="F45" s="27">
        <f>SUM(F9+F15+F21+F27+F33+F39)</f>
        <v>2340361</v>
      </c>
      <c r="G45" s="35">
        <f t="shared" si="1"/>
        <v>0.07772324484478804</v>
      </c>
    </row>
    <row r="46" spans="1:7" ht="12.75">
      <c r="A46" s="29"/>
      <c r="B46" s="39" t="s">
        <v>35</v>
      </c>
      <c r="C46" s="28">
        <f>SUM(C42:C45)</f>
        <v>1898816073</v>
      </c>
      <c r="D46" s="28">
        <f>SUM(D42:D45)</f>
        <v>1708768017</v>
      </c>
      <c r="E46" s="28">
        <f t="shared" si="0"/>
        <v>9569595</v>
      </c>
      <c r="F46" s="28">
        <f>SUM(F42:F45)</f>
        <v>199617651</v>
      </c>
      <c r="G46" s="40">
        <f t="shared" si="1"/>
        <v>0.10512742852688081</v>
      </c>
    </row>
  </sheetData>
  <printOptions/>
  <pageMargins left="0.5905511811023623" right="0.7874015748031497" top="0" bottom="0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6.421875" style="0" customWidth="1"/>
    <col min="3" max="3" width="19.421875" style="0" customWidth="1"/>
    <col min="4" max="4" width="22.8515625" style="0" customWidth="1"/>
    <col min="5" max="5" width="17.00390625" style="0" customWidth="1"/>
    <col min="6" max="6" width="19.421875" style="0" customWidth="1"/>
    <col min="7" max="7" width="17.7109375" style="0" customWidth="1"/>
    <col min="8" max="8" width="13.00390625" style="0" customWidth="1"/>
  </cols>
  <sheetData>
    <row r="1" ht="12.75">
      <c r="A1" t="s">
        <v>75</v>
      </c>
    </row>
    <row r="2" spans="1:8" ht="18">
      <c r="A2" s="17" t="s">
        <v>169</v>
      </c>
      <c r="B2" s="17"/>
      <c r="C2" s="17"/>
      <c r="D2" s="17"/>
      <c r="E2" s="17"/>
      <c r="F2" s="17"/>
      <c r="G2" s="17"/>
      <c r="H2" s="41"/>
    </row>
    <row r="3" spans="1:8" ht="18">
      <c r="A3" s="17"/>
      <c r="B3" s="17"/>
      <c r="C3" s="17"/>
      <c r="D3" s="17"/>
      <c r="E3" s="17"/>
      <c r="F3" s="17"/>
      <c r="G3" s="17"/>
      <c r="H3" s="41"/>
    </row>
    <row r="4" spans="1:8" ht="12.75">
      <c r="A4" s="42" t="s">
        <v>36</v>
      </c>
      <c r="B4" s="42" t="s">
        <v>37</v>
      </c>
      <c r="C4" s="42" t="s">
        <v>38</v>
      </c>
      <c r="D4" s="42" t="s">
        <v>39</v>
      </c>
      <c r="E4" s="42" t="s">
        <v>40</v>
      </c>
      <c r="F4" s="42" t="s">
        <v>41</v>
      </c>
      <c r="G4" s="42" t="s">
        <v>42</v>
      </c>
      <c r="H4" s="42" t="s">
        <v>43</v>
      </c>
    </row>
    <row r="5" spans="1:8" ht="45" customHeight="1">
      <c r="A5" s="25" t="s">
        <v>21</v>
      </c>
      <c r="B5" s="25" t="s">
        <v>25</v>
      </c>
      <c r="C5" s="81" t="s">
        <v>44</v>
      </c>
      <c r="D5" s="81" t="s">
        <v>45</v>
      </c>
      <c r="E5" s="43" t="s">
        <v>46</v>
      </c>
      <c r="F5" s="43" t="s">
        <v>47</v>
      </c>
      <c r="G5" s="43" t="s">
        <v>170</v>
      </c>
      <c r="H5" s="81" t="s">
        <v>48</v>
      </c>
    </row>
    <row r="6" spans="1:8" ht="12.75">
      <c r="A6" s="25" t="s">
        <v>1</v>
      </c>
      <c r="B6" s="9"/>
      <c r="C6" s="9"/>
      <c r="D6" s="9"/>
      <c r="E6" s="9"/>
      <c r="F6" s="9"/>
      <c r="G6" s="9"/>
      <c r="H6" s="9"/>
    </row>
    <row r="7" spans="2:8" ht="12.75">
      <c r="B7" s="9" t="s">
        <v>49</v>
      </c>
      <c r="C7" s="27">
        <v>72579518</v>
      </c>
      <c r="D7" s="27">
        <v>21803773</v>
      </c>
      <c r="E7" s="27">
        <f>SUM(C7-D7)</f>
        <v>50775745</v>
      </c>
      <c r="F7" s="27">
        <v>29786585</v>
      </c>
      <c r="G7" s="27">
        <f>SUM(E7-F7)</f>
        <v>20989160</v>
      </c>
      <c r="H7" s="14">
        <f>SUM(F7/E7)</f>
        <v>0.5866301912458399</v>
      </c>
    </row>
    <row r="8" spans="2:8" ht="12.75">
      <c r="B8" s="9" t="s">
        <v>50</v>
      </c>
      <c r="C8" s="27">
        <v>88450863</v>
      </c>
      <c r="D8" s="27">
        <v>20332198</v>
      </c>
      <c r="E8" s="27">
        <f aca="true" t="shared" si="0" ref="E8:E46">SUM(C8-D8)</f>
        <v>68118665</v>
      </c>
      <c r="F8" s="27">
        <v>31346471</v>
      </c>
      <c r="G8" s="27">
        <f aca="true" t="shared" si="1" ref="G8:G40">SUM(E8-F8)</f>
        <v>36772194</v>
      </c>
      <c r="H8" s="14">
        <f aca="true" t="shared" si="2" ref="H8:H46">SUM(F8/E8)</f>
        <v>0.4601744764081915</v>
      </c>
    </row>
    <row r="9" spans="2:8" ht="12.75">
      <c r="B9" s="9" t="s">
        <v>51</v>
      </c>
      <c r="C9" s="27">
        <v>2326729</v>
      </c>
      <c r="D9" s="27">
        <v>709000</v>
      </c>
      <c r="E9" s="27">
        <f t="shared" si="0"/>
        <v>1617729</v>
      </c>
      <c r="F9" s="27">
        <v>1472051</v>
      </c>
      <c r="G9" s="27">
        <f t="shared" si="1"/>
        <v>145678</v>
      </c>
      <c r="H9" s="44">
        <f t="shared" si="2"/>
        <v>0.9099490705798067</v>
      </c>
    </row>
    <row r="10" spans="2:8" ht="12.75">
      <c r="B10" s="26" t="s">
        <v>52</v>
      </c>
      <c r="C10" s="28">
        <f>SUM(C7:C9)</f>
        <v>163357110</v>
      </c>
      <c r="D10" s="28">
        <f>SUM(D7:D9)</f>
        <v>42844971</v>
      </c>
      <c r="E10" s="28">
        <f t="shared" si="0"/>
        <v>120512139</v>
      </c>
      <c r="F10" s="28">
        <f>SUM(F7:F9)</f>
        <v>62605107</v>
      </c>
      <c r="G10" s="45">
        <f t="shared" si="1"/>
        <v>57907032</v>
      </c>
      <c r="H10" s="23">
        <f t="shared" si="2"/>
        <v>0.5194921235279045</v>
      </c>
    </row>
    <row r="11" spans="3:8" ht="12.75">
      <c r="C11" s="46"/>
      <c r="E11" s="47"/>
      <c r="F11" s="46"/>
      <c r="G11" s="47"/>
      <c r="H11" s="48"/>
    </row>
    <row r="12" spans="1:8" ht="12.75">
      <c r="A12" s="25" t="s">
        <v>2</v>
      </c>
      <c r="B12" s="15"/>
      <c r="C12" s="47"/>
      <c r="E12" s="47"/>
      <c r="F12" s="47"/>
      <c r="G12" s="49"/>
      <c r="H12" s="48"/>
    </row>
    <row r="13" spans="1:8" ht="12.75">
      <c r="A13" s="29"/>
      <c r="B13" s="9" t="s">
        <v>49</v>
      </c>
      <c r="C13" s="27">
        <v>22283263</v>
      </c>
      <c r="D13" s="27">
        <v>7174845</v>
      </c>
      <c r="E13" s="27">
        <f t="shared" si="0"/>
        <v>15108418</v>
      </c>
      <c r="F13" s="27">
        <v>8068512</v>
      </c>
      <c r="G13" s="27">
        <f t="shared" si="1"/>
        <v>7039906</v>
      </c>
      <c r="H13" s="14">
        <f t="shared" si="2"/>
        <v>0.5340408241286414</v>
      </c>
    </row>
    <row r="14" spans="1:8" ht="12.75">
      <c r="A14" s="29"/>
      <c r="B14" s="9" t="s">
        <v>50</v>
      </c>
      <c r="C14" s="27">
        <v>32697042</v>
      </c>
      <c r="D14" s="27">
        <v>5875767</v>
      </c>
      <c r="E14" s="27">
        <f t="shared" si="0"/>
        <v>26821275</v>
      </c>
      <c r="F14" s="27">
        <v>7164768</v>
      </c>
      <c r="G14" s="27">
        <f t="shared" si="1"/>
        <v>19656507</v>
      </c>
      <c r="H14" s="14">
        <f t="shared" si="2"/>
        <v>0.2671300301719437</v>
      </c>
    </row>
    <row r="15" spans="1:8" ht="12.75">
      <c r="A15" s="29"/>
      <c r="B15" s="9" t="s">
        <v>51</v>
      </c>
      <c r="C15" s="27">
        <v>490340</v>
      </c>
      <c r="D15" s="27">
        <v>196136</v>
      </c>
      <c r="E15" s="50">
        <f t="shared" si="0"/>
        <v>294204</v>
      </c>
      <c r="F15" s="50">
        <v>0</v>
      </c>
      <c r="G15" s="50">
        <f t="shared" si="1"/>
        <v>294204</v>
      </c>
      <c r="H15" s="44">
        <f t="shared" si="2"/>
        <v>0</v>
      </c>
    </row>
    <row r="16" spans="1:8" ht="12.75">
      <c r="A16" s="29"/>
      <c r="B16" s="26" t="s">
        <v>52</v>
      </c>
      <c r="C16" s="28">
        <f>SUM(C13:C15)</f>
        <v>55470645</v>
      </c>
      <c r="D16" s="45">
        <f>SUM(D13:D15)</f>
        <v>13246748</v>
      </c>
      <c r="E16" s="28">
        <f t="shared" si="0"/>
        <v>42223897</v>
      </c>
      <c r="F16" s="28">
        <f>SUM(F13:F15)</f>
        <v>15233280</v>
      </c>
      <c r="G16" s="28">
        <f t="shared" si="1"/>
        <v>26990617</v>
      </c>
      <c r="H16" s="23">
        <f t="shared" si="2"/>
        <v>0.36077390014474503</v>
      </c>
    </row>
    <row r="17" spans="1:8" ht="12.75">
      <c r="A17" s="29"/>
      <c r="C17" s="46"/>
      <c r="E17" s="47"/>
      <c r="F17" s="47"/>
      <c r="G17" s="47"/>
      <c r="H17" s="48"/>
    </row>
    <row r="18" spans="1:8" ht="12.75">
      <c r="A18" s="25" t="s">
        <v>3</v>
      </c>
      <c r="C18" s="46"/>
      <c r="E18" s="47"/>
      <c r="F18" s="47"/>
      <c r="G18" s="47"/>
      <c r="H18" s="48"/>
    </row>
    <row r="19" spans="1:8" ht="12.75">
      <c r="A19" s="29"/>
      <c r="B19" s="9" t="s">
        <v>49</v>
      </c>
      <c r="C19" s="27">
        <v>14153479</v>
      </c>
      <c r="D19" s="27">
        <v>3699756</v>
      </c>
      <c r="E19" s="27">
        <f t="shared" si="0"/>
        <v>10453723</v>
      </c>
      <c r="F19" s="27">
        <v>5721565</v>
      </c>
      <c r="G19" s="27">
        <f t="shared" si="1"/>
        <v>4732158</v>
      </c>
      <c r="H19" s="14">
        <f t="shared" si="2"/>
        <v>0.5473231881120247</v>
      </c>
    </row>
    <row r="20" spans="1:8" ht="12.75">
      <c r="A20" s="29"/>
      <c r="B20" s="9" t="s">
        <v>50</v>
      </c>
      <c r="C20" s="27">
        <v>10260869</v>
      </c>
      <c r="D20" s="27">
        <v>2385405</v>
      </c>
      <c r="E20" s="27">
        <f t="shared" si="0"/>
        <v>7875464</v>
      </c>
      <c r="F20" s="27">
        <v>1321566</v>
      </c>
      <c r="G20" s="27">
        <f t="shared" si="1"/>
        <v>6553898</v>
      </c>
      <c r="H20" s="14">
        <f t="shared" si="2"/>
        <v>0.16780801740697437</v>
      </c>
    </row>
    <row r="21" spans="1:8" ht="12.75">
      <c r="A21" s="29"/>
      <c r="B21" s="9" t="s">
        <v>51</v>
      </c>
      <c r="C21" s="27">
        <v>723059</v>
      </c>
      <c r="D21" s="27">
        <v>288802</v>
      </c>
      <c r="E21" s="27">
        <f t="shared" si="0"/>
        <v>434257</v>
      </c>
      <c r="F21" s="27">
        <v>434257</v>
      </c>
      <c r="G21" s="27">
        <f t="shared" si="1"/>
        <v>0</v>
      </c>
      <c r="H21" s="14">
        <f t="shared" si="2"/>
        <v>1</v>
      </c>
    </row>
    <row r="22" spans="1:8" ht="12.75">
      <c r="A22" s="29"/>
      <c r="B22" s="26" t="s">
        <v>52</v>
      </c>
      <c r="C22" s="28">
        <f>SUM(C19:C21)</f>
        <v>25137407</v>
      </c>
      <c r="D22" s="28">
        <f>SUM(D19:D21)</f>
        <v>6373963</v>
      </c>
      <c r="E22" s="28">
        <f t="shared" si="0"/>
        <v>18763444</v>
      </c>
      <c r="F22" s="28">
        <f>SUM(F19:F21)</f>
        <v>7477388</v>
      </c>
      <c r="G22" s="28">
        <f t="shared" si="1"/>
        <v>11286056</v>
      </c>
      <c r="H22" s="23">
        <f t="shared" si="2"/>
        <v>0.3985082909086413</v>
      </c>
    </row>
    <row r="23" spans="1:8" ht="12.75">
      <c r="A23" s="29"/>
      <c r="C23" s="46"/>
      <c r="E23" s="47"/>
      <c r="F23" s="47"/>
      <c r="G23" s="47"/>
      <c r="H23" s="48"/>
    </row>
    <row r="24" spans="1:8" ht="12.75">
      <c r="A24" s="25" t="s">
        <v>4</v>
      </c>
      <c r="C24" s="46"/>
      <c r="E24" s="47"/>
      <c r="F24" s="47"/>
      <c r="G24" s="47"/>
      <c r="H24" s="48"/>
    </row>
    <row r="25" spans="1:8" ht="12.75">
      <c r="A25" s="29"/>
      <c r="B25" s="9" t="s">
        <v>49</v>
      </c>
      <c r="C25" s="27">
        <v>19168901</v>
      </c>
      <c r="D25" s="27">
        <v>6583716</v>
      </c>
      <c r="E25" s="27">
        <f t="shared" si="0"/>
        <v>12585185</v>
      </c>
      <c r="F25" s="27">
        <v>6523523</v>
      </c>
      <c r="G25" s="27">
        <f t="shared" si="1"/>
        <v>6061662</v>
      </c>
      <c r="H25" s="14">
        <f t="shared" si="2"/>
        <v>0.5183493925595849</v>
      </c>
    </row>
    <row r="26" spans="1:8" ht="12.75">
      <c r="A26" s="29"/>
      <c r="B26" s="9" t="s">
        <v>50</v>
      </c>
      <c r="C26" s="27">
        <v>20228260</v>
      </c>
      <c r="D26" s="27">
        <v>5917175</v>
      </c>
      <c r="E26" s="27">
        <f t="shared" si="0"/>
        <v>14311085</v>
      </c>
      <c r="F26" s="27">
        <v>1361860</v>
      </c>
      <c r="G26" s="27">
        <f t="shared" si="1"/>
        <v>12949225</v>
      </c>
      <c r="H26" s="14">
        <f t="shared" si="2"/>
        <v>0.09516119846957795</v>
      </c>
    </row>
    <row r="27" spans="1:8" ht="12.75">
      <c r="A27" s="29"/>
      <c r="B27" s="9" t="s">
        <v>51</v>
      </c>
      <c r="C27" s="27">
        <v>0</v>
      </c>
      <c r="D27" s="27">
        <v>0</v>
      </c>
      <c r="E27" s="27">
        <f t="shared" si="0"/>
        <v>0</v>
      </c>
      <c r="F27" s="27">
        <v>0</v>
      </c>
      <c r="G27" s="27">
        <f t="shared" si="1"/>
        <v>0</v>
      </c>
      <c r="H27" s="14">
        <v>0</v>
      </c>
    </row>
    <row r="28" spans="1:8" ht="12.75">
      <c r="A28" s="29"/>
      <c r="B28" s="26" t="s">
        <v>52</v>
      </c>
      <c r="C28" s="28">
        <f>SUM(C25:C27)</f>
        <v>39397161</v>
      </c>
      <c r="D28" s="28">
        <f>SUM(D25:D27)</f>
        <v>12500891</v>
      </c>
      <c r="E28" s="28">
        <f t="shared" si="0"/>
        <v>26896270</v>
      </c>
      <c r="F28" s="28">
        <f>SUM(F25:F27)</f>
        <v>7885383</v>
      </c>
      <c r="G28" s="28">
        <f t="shared" si="1"/>
        <v>19010887</v>
      </c>
      <c r="H28" s="23">
        <f t="shared" si="2"/>
        <v>0.2931775670009262</v>
      </c>
    </row>
    <row r="29" spans="1:8" ht="12.75">
      <c r="A29" s="29"/>
      <c r="C29" s="46"/>
      <c r="E29" s="47"/>
      <c r="F29" s="47"/>
      <c r="G29" s="47"/>
      <c r="H29" s="48"/>
    </row>
    <row r="30" spans="1:8" ht="12.75">
      <c r="A30" s="25" t="s">
        <v>5</v>
      </c>
      <c r="C30" s="46"/>
      <c r="E30" s="47"/>
      <c r="F30" s="47"/>
      <c r="G30" s="47"/>
      <c r="H30" s="48"/>
    </row>
    <row r="31" spans="1:8" ht="12.75">
      <c r="A31" s="29"/>
      <c r="B31" s="9" t="s">
        <v>49</v>
      </c>
      <c r="C31" s="27">
        <v>8793424</v>
      </c>
      <c r="D31" s="27">
        <v>3725353</v>
      </c>
      <c r="E31" s="27">
        <f t="shared" si="0"/>
        <v>5068071</v>
      </c>
      <c r="F31" s="27">
        <v>1763791</v>
      </c>
      <c r="G31" s="27">
        <f t="shared" si="1"/>
        <v>3304280</v>
      </c>
      <c r="H31" s="14">
        <f t="shared" si="2"/>
        <v>0.3480201836162122</v>
      </c>
    </row>
    <row r="32" spans="1:8" ht="12.75">
      <c r="A32" s="29"/>
      <c r="B32" s="9" t="s">
        <v>50</v>
      </c>
      <c r="C32" s="27">
        <v>38425881</v>
      </c>
      <c r="D32" s="27">
        <v>5758394</v>
      </c>
      <c r="E32" s="27">
        <f t="shared" si="0"/>
        <v>32667487</v>
      </c>
      <c r="F32" s="27">
        <v>6497035</v>
      </c>
      <c r="G32" s="27">
        <f t="shared" si="1"/>
        <v>26170452</v>
      </c>
      <c r="H32" s="14">
        <f t="shared" si="2"/>
        <v>0.19888383211111402</v>
      </c>
    </row>
    <row r="33" spans="1:8" ht="12.75">
      <c r="A33" s="29"/>
      <c r="B33" s="9" t="s">
        <v>51</v>
      </c>
      <c r="C33" s="27">
        <v>0</v>
      </c>
      <c r="D33" s="27">
        <v>0</v>
      </c>
      <c r="E33" s="27">
        <f t="shared" si="0"/>
        <v>0</v>
      </c>
      <c r="F33" s="27">
        <v>0</v>
      </c>
      <c r="G33" s="27">
        <f t="shared" si="1"/>
        <v>0</v>
      </c>
      <c r="H33" s="14">
        <v>0</v>
      </c>
    </row>
    <row r="34" spans="1:8" ht="12.75">
      <c r="A34" s="29"/>
      <c r="B34" s="26" t="s">
        <v>52</v>
      </c>
      <c r="C34" s="28">
        <f>SUM(C31:C33)</f>
        <v>47219305</v>
      </c>
      <c r="D34" s="28">
        <f>SUM(D31:D33)</f>
        <v>9483747</v>
      </c>
      <c r="E34" s="28">
        <f t="shared" si="0"/>
        <v>37735558</v>
      </c>
      <c r="F34" s="28">
        <f>SUM(F31:F33)</f>
        <v>8260826</v>
      </c>
      <c r="G34" s="28">
        <f t="shared" si="1"/>
        <v>29474732</v>
      </c>
      <c r="H34" s="23">
        <f t="shared" si="2"/>
        <v>0.21891357748042312</v>
      </c>
    </row>
    <row r="35" spans="1:8" ht="12.75">
      <c r="A35" s="29"/>
      <c r="C35" s="46"/>
      <c r="E35" s="47"/>
      <c r="F35" s="47"/>
      <c r="G35" s="47"/>
      <c r="H35" s="48"/>
    </row>
    <row r="36" spans="1:8" ht="12.75">
      <c r="A36" s="25" t="s">
        <v>6</v>
      </c>
      <c r="C36" s="46"/>
      <c r="E36" s="47"/>
      <c r="F36" s="47"/>
      <c r="G36" s="47"/>
      <c r="H36" s="48"/>
    </row>
    <row r="37" spans="1:8" ht="12.75">
      <c r="A37" s="29"/>
      <c r="B37" s="9" t="s">
        <v>49</v>
      </c>
      <c r="C37" s="27">
        <v>17810661</v>
      </c>
      <c r="D37" s="27">
        <v>7840391</v>
      </c>
      <c r="E37" s="27">
        <f t="shared" si="0"/>
        <v>9970270</v>
      </c>
      <c r="F37" s="27">
        <v>3880604</v>
      </c>
      <c r="G37" s="27">
        <f t="shared" si="1"/>
        <v>6089666</v>
      </c>
      <c r="H37" s="14">
        <f t="shared" si="2"/>
        <v>0.3892175437575913</v>
      </c>
    </row>
    <row r="38" spans="1:8" ht="12.75">
      <c r="A38" s="29"/>
      <c r="B38" s="9" t="s">
        <v>50</v>
      </c>
      <c r="C38" s="27">
        <v>36741825</v>
      </c>
      <c r="D38" s="27">
        <v>7299051</v>
      </c>
      <c r="E38" s="27">
        <f t="shared" si="0"/>
        <v>29442774</v>
      </c>
      <c r="F38" s="27">
        <v>2321392</v>
      </c>
      <c r="G38" s="27">
        <f t="shared" si="1"/>
        <v>27121382</v>
      </c>
      <c r="H38" s="14">
        <f t="shared" si="2"/>
        <v>0.07884420129706528</v>
      </c>
    </row>
    <row r="39" spans="1:8" ht="12.75">
      <c r="A39" s="29"/>
      <c r="B39" s="9" t="s">
        <v>51</v>
      </c>
      <c r="C39" s="27">
        <v>734866</v>
      </c>
      <c r="D39" s="27">
        <v>178606</v>
      </c>
      <c r="E39" s="27">
        <f t="shared" si="0"/>
        <v>556260</v>
      </c>
      <c r="F39" s="27">
        <v>0</v>
      </c>
      <c r="G39" s="27">
        <f t="shared" si="1"/>
        <v>556260</v>
      </c>
      <c r="H39" s="14">
        <f t="shared" si="2"/>
        <v>0</v>
      </c>
    </row>
    <row r="40" spans="1:8" ht="12.75">
      <c r="A40" s="29"/>
      <c r="B40" s="26" t="s">
        <v>52</v>
      </c>
      <c r="C40" s="28">
        <f>SUM(C37:C39)</f>
        <v>55287352</v>
      </c>
      <c r="D40" s="28">
        <f>SUM(D37:D39)</f>
        <v>15318048</v>
      </c>
      <c r="E40" s="28">
        <f t="shared" si="0"/>
        <v>39969304</v>
      </c>
      <c r="F40" s="28">
        <f>SUM(F37:F39)</f>
        <v>6201996</v>
      </c>
      <c r="G40" s="28">
        <f t="shared" si="1"/>
        <v>33767308</v>
      </c>
      <c r="H40" s="23">
        <f t="shared" si="2"/>
        <v>0.15516897667269863</v>
      </c>
    </row>
    <row r="41" spans="1:8" ht="12.75">
      <c r="A41" s="29"/>
      <c r="C41" s="46"/>
      <c r="E41" s="47"/>
      <c r="F41" s="47"/>
      <c r="G41" s="15"/>
      <c r="H41" s="48"/>
    </row>
    <row r="42" spans="1:8" ht="12.75">
      <c r="A42" s="25" t="s">
        <v>7</v>
      </c>
      <c r="C42" s="46"/>
      <c r="E42" s="47"/>
      <c r="F42" s="47"/>
      <c r="G42" s="15"/>
      <c r="H42" s="48"/>
    </row>
    <row r="43" spans="1:8" ht="12.75">
      <c r="A43" s="29"/>
      <c r="B43" s="9" t="s">
        <v>49</v>
      </c>
      <c r="C43" s="27">
        <f aca="true" t="shared" si="3" ref="C43:D46">SUM(C7+C13+C19+C25+C31+C37)</f>
        <v>154789246</v>
      </c>
      <c r="D43" s="27">
        <f t="shared" si="3"/>
        <v>50827834</v>
      </c>
      <c r="E43" s="27">
        <f t="shared" si="0"/>
        <v>103961412</v>
      </c>
      <c r="F43" s="27">
        <f aca="true" t="shared" si="4" ref="F43:G45">SUM(F7+F13+F19+F25+F31+F37)</f>
        <v>55744580</v>
      </c>
      <c r="G43" s="27">
        <f t="shared" si="4"/>
        <v>48216832</v>
      </c>
      <c r="H43" s="14">
        <f t="shared" si="2"/>
        <v>0.5362045294267453</v>
      </c>
    </row>
    <row r="44" spans="1:8" ht="12.75">
      <c r="A44" s="29"/>
      <c r="B44" s="9" t="s">
        <v>50</v>
      </c>
      <c r="C44" s="27">
        <f t="shared" si="3"/>
        <v>226804740</v>
      </c>
      <c r="D44" s="27">
        <f t="shared" si="3"/>
        <v>47567990</v>
      </c>
      <c r="E44" s="27">
        <f t="shared" si="0"/>
        <v>179236750</v>
      </c>
      <c r="F44" s="27">
        <f t="shared" si="4"/>
        <v>50013092</v>
      </c>
      <c r="G44" s="27">
        <f t="shared" si="4"/>
        <v>129223658</v>
      </c>
      <c r="H44" s="14">
        <f t="shared" si="2"/>
        <v>0.27903369147231244</v>
      </c>
    </row>
    <row r="45" spans="1:8" ht="12.75">
      <c r="A45" s="29"/>
      <c r="B45" s="9" t="s">
        <v>51</v>
      </c>
      <c r="C45" s="27">
        <f t="shared" si="3"/>
        <v>4274994</v>
      </c>
      <c r="D45" s="27">
        <f t="shared" si="3"/>
        <v>1372544</v>
      </c>
      <c r="E45" s="27">
        <f t="shared" si="0"/>
        <v>2902450</v>
      </c>
      <c r="F45" s="27">
        <f t="shared" si="4"/>
        <v>1906308</v>
      </c>
      <c r="G45" s="27">
        <f t="shared" si="4"/>
        <v>996142</v>
      </c>
      <c r="H45" s="14">
        <f t="shared" si="2"/>
        <v>0.6567927096074007</v>
      </c>
    </row>
    <row r="46" spans="1:8" ht="12.75">
      <c r="A46" s="29"/>
      <c r="B46" s="26" t="s">
        <v>52</v>
      </c>
      <c r="C46" s="28">
        <f t="shared" si="3"/>
        <v>385868980</v>
      </c>
      <c r="D46" s="28">
        <f t="shared" si="3"/>
        <v>99768368</v>
      </c>
      <c r="E46" s="28">
        <f t="shared" si="0"/>
        <v>286100612</v>
      </c>
      <c r="F46" s="28">
        <f>SUM(F10+F16+F22+F28+F34+F40)</f>
        <v>107663980</v>
      </c>
      <c r="G46" s="28">
        <f>SUM(G43:G45)</f>
        <v>178436632</v>
      </c>
      <c r="H46" s="23">
        <f t="shared" si="2"/>
        <v>0.3763150985500164</v>
      </c>
    </row>
  </sheetData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1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27.28125" style="0" customWidth="1"/>
    <col min="3" max="3" width="22.28125" style="0" customWidth="1"/>
    <col min="4" max="4" width="35.57421875" style="0" customWidth="1"/>
    <col min="5" max="5" width="29.7109375" style="0" customWidth="1"/>
    <col min="6" max="6" width="16.421875" style="0" customWidth="1"/>
    <col min="7" max="7" width="10.421875" style="0" customWidth="1"/>
    <col min="8" max="8" width="9.00390625" style="0" customWidth="1"/>
    <col min="9" max="9" width="15.421875" style="0" customWidth="1"/>
    <col min="10" max="10" width="9.8515625" style="0" customWidth="1"/>
    <col min="11" max="11" width="9.00390625" style="0" customWidth="1"/>
    <col min="12" max="12" width="14.8515625" style="0" customWidth="1"/>
    <col min="13" max="13" width="9.421875" style="0" customWidth="1"/>
    <col min="14" max="14" width="8.8515625" style="0" customWidth="1"/>
    <col min="15" max="15" width="15.7109375" style="0" customWidth="1"/>
    <col min="16" max="16" width="9.28125" style="0" customWidth="1"/>
    <col min="17" max="17" width="9.7109375" style="0" customWidth="1"/>
    <col min="18" max="18" width="4.28125" style="0" customWidth="1"/>
    <col min="19" max="19" width="0.42578125" style="0" customWidth="1"/>
  </cols>
  <sheetData>
    <row r="1" ht="12.75">
      <c r="A1" t="s">
        <v>77</v>
      </c>
    </row>
    <row r="2" spans="1:5" ht="18">
      <c r="A2" s="17" t="s">
        <v>184</v>
      </c>
      <c r="B2" s="18"/>
      <c r="C2" s="18"/>
      <c r="D2" s="18"/>
      <c r="E2" s="18"/>
    </row>
    <row r="3" spans="1:17" ht="18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5.75">
      <c r="A4" s="30" t="s">
        <v>21</v>
      </c>
      <c r="B4" s="25" t="s">
        <v>25</v>
      </c>
      <c r="C4" s="31" t="s">
        <v>91</v>
      </c>
      <c r="D4" s="25" t="s">
        <v>92</v>
      </c>
      <c r="E4" s="25" t="s">
        <v>93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5.75" customHeight="1">
      <c r="A5" s="31" t="s">
        <v>1</v>
      </c>
      <c r="B5" s="32" t="s">
        <v>30</v>
      </c>
      <c r="C5" s="33">
        <v>6761</v>
      </c>
      <c r="D5" s="34">
        <v>5207</v>
      </c>
      <c r="E5" s="35">
        <f>SUM(D5/C5)</f>
        <v>0.7701523443277621</v>
      </c>
      <c r="F5" s="195"/>
      <c r="G5" s="195"/>
      <c r="H5" s="195"/>
      <c r="I5" s="133"/>
      <c r="J5" s="133"/>
      <c r="K5" s="134"/>
      <c r="L5" s="134"/>
      <c r="M5" s="134"/>
      <c r="N5" s="134"/>
      <c r="O5" s="196"/>
      <c r="P5" s="196"/>
      <c r="Q5" s="196"/>
    </row>
    <row r="6" spans="1:17" ht="12.75">
      <c r="A6" s="36"/>
      <c r="B6" s="32" t="s">
        <v>31</v>
      </c>
      <c r="C6" s="33">
        <v>88</v>
      </c>
      <c r="D6" s="33">
        <v>29</v>
      </c>
      <c r="E6" s="35">
        <f>SUM(D6/C6)</f>
        <v>0.32954545454545453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</row>
    <row r="7" spans="1:17" ht="15.75" customHeight="1">
      <c r="A7" s="37"/>
      <c r="B7" s="32" t="s">
        <v>32</v>
      </c>
      <c r="C7" s="27">
        <v>995</v>
      </c>
      <c r="D7" s="27">
        <v>590</v>
      </c>
      <c r="E7" s="35">
        <f>SUM(D7/C7)</f>
        <v>0.592964824120603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</row>
    <row r="8" spans="1:17" ht="12.75">
      <c r="A8" s="37"/>
      <c r="B8" s="32" t="s">
        <v>33</v>
      </c>
      <c r="C8" s="27">
        <v>279</v>
      </c>
      <c r="D8" s="27">
        <v>25</v>
      </c>
      <c r="E8" s="35">
        <f>SUM(D8/C8)</f>
        <v>0.08960573476702509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</row>
    <row r="9" spans="1:19" ht="12.75">
      <c r="A9" s="38"/>
      <c r="B9" s="39" t="s">
        <v>34</v>
      </c>
      <c r="C9" s="28">
        <f>SUM(C5:C8)</f>
        <v>8123</v>
      </c>
      <c r="D9" s="28">
        <f>SUM(D5:D8)</f>
        <v>5851</v>
      </c>
      <c r="E9" s="40">
        <f>SUM(D9/C9)</f>
        <v>0.7203003816324018</v>
      </c>
      <c r="F9" s="129"/>
      <c r="G9" s="129"/>
      <c r="H9" s="130"/>
      <c r="I9" s="129"/>
      <c r="J9" s="129"/>
      <c r="K9" s="130"/>
      <c r="L9" s="129"/>
      <c r="M9" s="129"/>
      <c r="N9" s="130"/>
      <c r="O9" s="129"/>
      <c r="P9" s="129"/>
      <c r="Q9" s="130"/>
      <c r="S9">
        <v>6776</v>
      </c>
    </row>
    <row r="10" spans="1:19" ht="12.75">
      <c r="A10" s="29"/>
      <c r="E10" s="132"/>
      <c r="F10" s="129"/>
      <c r="G10" s="129"/>
      <c r="H10" s="130"/>
      <c r="I10" s="129"/>
      <c r="J10" s="129"/>
      <c r="K10" s="130"/>
      <c r="L10" s="129"/>
      <c r="M10" s="129"/>
      <c r="N10" s="130"/>
      <c r="O10" s="129"/>
      <c r="P10" s="129"/>
      <c r="Q10" s="130"/>
      <c r="S10">
        <v>88</v>
      </c>
    </row>
    <row r="11" spans="1:19" ht="12.75">
      <c r="A11" s="25" t="s">
        <v>2</v>
      </c>
      <c r="B11" s="32" t="s">
        <v>30</v>
      </c>
      <c r="C11" s="27">
        <v>1228</v>
      </c>
      <c r="D11" s="27">
        <v>985</v>
      </c>
      <c r="E11" s="35">
        <f>SUM(D11/C11)</f>
        <v>0.8021172638436482</v>
      </c>
      <c r="F11" s="129"/>
      <c r="G11" s="129"/>
      <c r="H11" s="130"/>
      <c r="I11" s="129"/>
      <c r="J11" s="129"/>
      <c r="K11" s="130"/>
      <c r="L11" s="129"/>
      <c r="M11" s="129"/>
      <c r="N11" s="130"/>
      <c r="O11" s="129"/>
      <c r="P11" s="129"/>
      <c r="Q11" s="130"/>
      <c r="S11">
        <v>982</v>
      </c>
    </row>
    <row r="12" spans="1:19" ht="12.75">
      <c r="A12" s="29"/>
      <c r="B12" s="32" t="s">
        <v>31</v>
      </c>
      <c r="C12" s="27">
        <v>11</v>
      </c>
      <c r="D12" s="27">
        <v>5</v>
      </c>
      <c r="E12" s="35">
        <f>SUM(D12/C12)</f>
        <v>0.45454545454545453</v>
      </c>
      <c r="F12" s="129"/>
      <c r="G12" s="129"/>
      <c r="H12" s="130"/>
      <c r="I12" s="129"/>
      <c r="J12" s="129"/>
      <c r="K12" s="130"/>
      <c r="L12" s="129"/>
      <c r="M12" s="129"/>
      <c r="N12" s="130"/>
      <c r="O12" s="129"/>
      <c r="P12" s="129"/>
      <c r="Q12" s="130"/>
      <c r="S12">
        <v>280</v>
      </c>
    </row>
    <row r="13" spans="1:19" s="38" customFormat="1" ht="12.75">
      <c r="A13" s="29"/>
      <c r="B13" s="32" t="s">
        <v>32</v>
      </c>
      <c r="C13" s="27">
        <v>212</v>
      </c>
      <c r="D13" s="27">
        <v>76</v>
      </c>
      <c r="E13" s="35">
        <f>SUM(D13/C13)</f>
        <v>0.3584905660377358</v>
      </c>
      <c r="F13" s="138"/>
      <c r="G13" s="138"/>
      <c r="H13" s="139"/>
      <c r="I13" s="138"/>
      <c r="J13" s="138"/>
      <c r="K13" s="139"/>
      <c r="L13" s="138"/>
      <c r="M13" s="138"/>
      <c r="N13" s="139"/>
      <c r="O13" s="138"/>
      <c r="P13" s="138"/>
      <c r="Q13" s="139"/>
      <c r="S13" s="38">
        <v>8126</v>
      </c>
    </row>
    <row r="14" spans="1:17" s="15" customFormat="1" ht="12.75">
      <c r="A14" s="29"/>
      <c r="B14" s="32" t="s">
        <v>33</v>
      </c>
      <c r="C14" s="27">
        <v>41</v>
      </c>
      <c r="D14" s="27">
        <v>2</v>
      </c>
      <c r="E14" s="35">
        <f>SUM(D14/C14)</f>
        <v>0.04878048780487805</v>
      </c>
      <c r="F14" s="129"/>
      <c r="G14" s="129"/>
      <c r="H14" s="130"/>
      <c r="I14" s="129"/>
      <c r="J14" s="129"/>
      <c r="K14" s="130"/>
      <c r="L14" s="129"/>
      <c r="M14" s="129"/>
      <c r="N14" s="130"/>
      <c r="O14" s="129"/>
      <c r="P14" s="129"/>
      <c r="Q14" s="130"/>
    </row>
    <row r="15" spans="1:17" s="15" customFormat="1" ht="12.75">
      <c r="A15" s="29"/>
      <c r="B15" s="39" t="s">
        <v>34</v>
      </c>
      <c r="C15" s="28">
        <f>SUM(C11:C14)</f>
        <v>1492</v>
      </c>
      <c r="D15" s="28">
        <f>SUM(D11:D14)</f>
        <v>1068</v>
      </c>
      <c r="E15" s="40">
        <f>SUM(D15/C15)</f>
        <v>0.7158176943699732</v>
      </c>
      <c r="F15" s="129"/>
      <c r="G15" s="129"/>
      <c r="H15" s="130"/>
      <c r="I15" s="129"/>
      <c r="J15" s="129"/>
      <c r="K15" s="130"/>
      <c r="L15" s="129"/>
      <c r="M15" s="129"/>
      <c r="N15" s="130"/>
      <c r="O15" s="129"/>
      <c r="P15" s="129"/>
      <c r="Q15" s="130"/>
    </row>
    <row r="16" spans="1:19" ht="12.75">
      <c r="A16" s="29"/>
      <c r="E16" s="132"/>
      <c r="F16" s="129"/>
      <c r="G16" s="129"/>
      <c r="H16" s="130"/>
      <c r="I16" s="129"/>
      <c r="J16" s="129"/>
      <c r="K16" s="130"/>
      <c r="L16" s="129"/>
      <c r="M16" s="129"/>
      <c r="N16" s="130"/>
      <c r="O16" s="129"/>
      <c r="P16" s="129"/>
      <c r="Q16" s="130"/>
      <c r="S16" s="69">
        <v>1228</v>
      </c>
    </row>
    <row r="17" spans="1:19" ht="12.75">
      <c r="A17" s="25" t="s">
        <v>3</v>
      </c>
      <c r="B17" s="32" t="s">
        <v>30</v>
      </c>
      <c r="C17" s="27">
        <v>1237</v>
      </c>
      <c r="D17" s="27">
        <v>957</v>
      </c>
      <c r="E17" s="35">
        <f>SUM(D17/C17)</f>
        <v>0.7736459175424414</v>
      </c>
      <c r="F17" s="129"/>
      <c r="G17" s="129"/>
      <c r="H17" s="130"/>
      <c r="I17" s="129"/>
      <c r="J17" s="129"/>
      <c r="K17" s="130"/>
      <c r="L17" s="129"/>
      <c r="M17" s="129"/>
      <c r="N17" s="130"/>
      <c r="O17" s="129"/>
      <c r="P17" s="129"/>
      <c r="Q17" s="130"/>
      <c r="S17" s="69">
        <v>12</v>
      </c>
    </row>
    <row r="18" spans="1:19" ht="12.75">
      <c r="A18" s="29"/>
      <c r="B18" s="32" t="s">
        <v>31</v>
      </c>
      <c r="C18" s="27">
        <v>4</v>
      </c>
      <c r="D18" s="27">
        <v>0</v>
      </c>
      <c r="E18" s="35">
        <f>SUM(D18/C18)</f>
        <v>0</v>
      </c>
      <c r="F18" s="129"/>
      <c r="G18" s="129"/>
      <c r="H18" s="130"/>
      <c r="I18" s="129"/>
      <c r="J18" s="129"/>
      <c r="K18" s="130"/>
      <c r="L18" s="129"/>
      <c r="M18" s="129"/>
      <c r="N18" s="130"/>
      <c r="O18" s="129"/>
      <c r="P18" s="129"/>
      <c r="Q18" s="130"/>
      <c r="S18" s="69">
        <v>211</v>
      </c>
    </row>
    <row r="19" spans="1:19" ht="12.75">
      <c r="A19" s="29"/>
      <c r="B19" s="32" t="s">
        <v>32</v>
      </c>
      <c r="C19" s="27">
        <v>132</v>
      </c>
      <c r="D19" s="27">
        <v>67</v>
      </c>
      <c r="E19" s="35">
        <f>SUM(D19/C19)</f>
        <v>0.5075757575757576</v>
      </c>
      <c r="F19" s="129"/>
      <c r="G19" s="129"/>
      <c r="H19" s="130"/>
      <c r="I19" s="129"/>
      <c r="J19" s="129"/>
      <c r="K19" s="130"/>
      <c r="L19" s="129"/>
      <c r="M19" s="129"/>
      <c r="N19" s="130"/>
      <c r="O19" s="129"/>
      <c r="P19" s="129"/>
      <c r="Q19" s="130"/>
      <c r="S19" s="69">
        <v>41</v>
      </c>
    </row>
    <row r="20" spans="1:19" s="38" customFormat="1" ht="12.75">
      <c r="A20" s="29"/>
      <c r="B20" s="32" t="s">
        <v>33</v>
      </c>
      <c r="C20" s="27">
        <v>39</v>
      </c>
      <c r="D20" s="27">
        <v>0</v>
      </c>
      <c r="E20" s="35">
        <f>SUM(D20/C20)</f>
        <v>0</v>
      </c>
      <c r="F20" s="138"/>
      <c r="G20" s="138"/>
      <c r="H20" s="139"/>
      <c r="I20" s="138"/>
      <c r="J20" s="138"/>
      <c r="K20" s="139"/>
      <c r="L20" s="138"/>
      <c r="M20" s="138"/>
      <c r="N20" s="139"/>
      <c r="O20" s="138"/>
      <c r="P20" s="138"/>
      <c r="Q20" s="139"/>
      <c r="S20" s="70">
        <v>1492</v>
      </c>
    </row>
    <row r="21" spans="1:17" s="15" customFormat="1" ht="12.75">
      <c r="A21" s="29"/>
      <c r="B21" s="39" t="s">
        <v>34</v>
      </c>
      <c r="C21" s="28">
        <f>SUM(C17:C20)</f>
        <v>1412</v>
      </c>
      <c r="D21" s="28">
        <f>SUM(D17:D20)</f>
        <v>1024</v>
      </c>
      <c r="E21" s="40">
        <f>SUM(D21/C21)</f>
        <v>0.7252124645892352</v>
      </c>
      <c r="F21" s="129"/>
      <c r="G21" s="129"/>
      <c r="H21" s="130"/>
      <c r="I21" s="129"/>
      <c r="J21" s="129"/>
      <c r="K21" s="130"/>
      <c r="L21" s="129"/>
      <c r="M21" s="129"/>
      <c r="N21" s="130"/>
      <c r="O21" s="129"/>
      <c r="P21" s="129"/>
      <c r="Q21" s="130"/>
    </row>
    <row r="22" spans="1:17" s="15" customFormat="1" ht="12.75">
      <c r="A22" s="29"/>
      <c r="B22"/>
      <c r="C22"/>
      <c r="D22"/>
      <c r="E22" s="132"/>
      <c r="F22" s="129"/>
      <c r="G22" s="129"/>
      <c r="H22" s="130"/>
      <c r="I22" s="129"/>
      <c r="J22" s="129"/>
      <c r="K22" s="130"/>
      <c r="L22" s="129"/>
      <c r="M22" s="129"/>
      <c r="N22" s="130"/>
      <c r="O22" s="129"/>
      <c r="P22" s="129"/>
      <c r="Q22" s="130"/>
    </row>
    <row r="23" spans="1:19" ht="12.75">
      <c r="A23" s="25" t="s">
        <v>4</v>
      </c>
      <c r="B23" s="32" t="s">
        <v>30</v>
      </c>
      <c r="C23" s="27">
        <v>1351</v>
      </c>
      <c r="D23" s="27">
        <v>976</v>
      </c>
      <c r="E23" s="35">
        <f>SUM(D23/C23)</f>
        <v>0.7224278312361214</v>
      </c>
      <c r="F23" s="129"/>
      <c r="G23" s="129"/>
      <c r="H23" s="130"/>
      <c r="I23" s="129"/>
      <c r="J23" s="129"/>
      <c r="K23" s="130"/>
      <c r="L23" s="129"/>
      <c r="M23" s="129"/>
      <c r="N23" s="130"/>
      <c r="O23" s="129"/>
      <c r="P23" s="129"/>
      <c r="Q23" s="130"/>
      <c r="S23" s="69">
        <v>1238</v>
      </c>
    </row>
    <row r="24" spans="1:19" ht="12.75">
      <c r="A24" s="29"/>
      <c r="B24" s="32" t="s">
        <v>31</v>
      </c>
      <c r="C24" s="27">
        <v>9</v>
      </c>
      <c r="D24" s="27">
        <v>3</v>
      </c>
      <c r="E24" s="35">
        <f>SUM(D24/C24)</f>
        <v>0.3333333333333333</v>
      </c>
      <c r="F24" s="129"/>
      <c r="G24" s="129"/>
      <c r="H24" s="130"/>
      <c r="I24" s="129"/>
      <c r="J24" s="129"/>
      <c r="K24" s="130"/>
      <c r="L24" s="129"/>
      <c r="M24" s="129"/>
      <c r="N24" s="130"/>
      <c r="O24" s="129"/>
      <c r="P24" s="129"/>
      <c r="Q24" s="130"/>
      <c r="S24" s="69">
        <v>4</v>
      </c>
    </row>
    <row r="25" spans="1:19" ht="12.75">
      <c r="A25" s="29"/>
      <c r="B25" s="32" t="s">
        <v>32</v>
      </c>
      <c r="C25" s="27">
        <v>237</v>
      </c>
      <c r="D25" s="27">
        <v>109</v>
      </c>
      <c r="E25" s="35">
        <f>SUM(D25/C25)</f>
        <v>0.459915611814346</v>
      </c>
      <c r="F25" s="129"/>
      <c r="G25" s="129"/>
      <c r="H25" s="130"/>
      <c r="I25" s="129"/>
      <c r="J25" s="129"/>
      <c r="K25" s="130"/>
      <c r="L25" s="129"/>
      <c r="M25" s="129"/>
      <c r="N25" s="130"/>
      <c r="O25" s="129"/>
      <c r="P25" s="129"/>
      <c r="Q25" s="130"/>
      <c r="S25" s="69">
        <v>132</v>
      </c>
    </row>
    <row r="26" spans="1:19" ht="12.75">
      <c r="A26" s="29"/>
      <c r="B26" s="32" t="s">
        <v>33</v>
      </c>
      <c r="C26" s="27">
        <v>47</v>
      </c>
      <c r="D26" s="27">
        <v>8</v>
      </c>
      <c r="E26" s="35">
        <f>SUM(D26/C26)</f>
        <v>0.1702127659574468</v>
      </c>
      <c r="F26" s="129"/>
      <c r="G26" s="129"/>
      <c r="H26" s="130"/>
      <c r="I26" s="129"/>
      <c r="J26" s="129"/>
      <c r="K26" s="130"/>
      <c r="L26" s="129"/>
      <c r="M26" s="129"/>
      <c r="N26" s="130"/>
      <c r="O26" s="129"/>
      <c r="P26" s="129"/>
      <c r="Q26" s="130"/>
      <c r="S26" s="69">
        <v>39</v>
      </c>
    </row>
    <row r="27" spans="1:19" s="38" customFormat="1" ht="12.75">
      <c r="A27" s="29"/>
      <c r="B27" s="39" t="s">
        <v>34</v>
      </c>
      <c r="C27" s="28">
        <f>SUM(C23:C26)</f>
        <v>1644</v>
      </c>
      <c r="D27" s="28">
        <f>SUM(D23:D26)</f>
        <v>1096</v>
      </c>
      <c r="E27" s="40">
        <f>SUM(D27/C27)</f>
        <v>0.6666666666666666</v>
      </c>
      <c r="F27" s="138"/>
      <c r="G27" s="138"/>
      <c r="H27" s="139"/>
      <c r="I27" s="138"/>
      <c r="J27" s="138"/>
      <c r="K27" s="139"/>
      <c r="L27" s="138"/>
      <c r="M27" s="138"/>
      <c r="N27" s="139"/>
      <c r="O27" s="138"/>
      <c r="P27" s="138"/>
      <c r="Q27" s="139"/>
      <c r="S27" s="70">
        <v>1413</v>
      </c>
    </row>
    <row r="28" spans="1:17" s="15" customFormat="1" ht="12.75">
      <c r="A28" s="29"/>
      <c r="B28"/>
      <c r="C28"/>
      <c r="D28"/>
      <c r="E28" s="132"/>
      <c r="F28" s="129"/>
      <c r="G28" s="129"/>
      <c r="H28" s="130"/>
      <c r="I28" s="129"/>
      <c r="J28" s="129"/>
      <c r="K28" s="130"/>
      <c r="L28" s="129"/>
      <c r="M28" s="129"/>
      <c r="N28" s="130"/>
      <c r="O28" s="129"/>
      <c r="P28" s="129"/>
      <c r="Q28" s="130"/>
    </row>
    <row r="29" spans="1:17" s="15" customFormat="1" ht="12.75">
      <c r="A29" s="25" t="s">
        <v>5</v>
      </c>
      <c r="B29" s="32" t="s">
        <v>30</v>
      </c>
      <c r="C29" s="27">
        <v>416</v>
      </c>
      <c r="D29" s="27">
        <v>325</v>
      </c>
      <c r="E29" s="35">
        <f>SUM(D29/C29)</f>
        <v>0.78125</v>
      </c>
      <c r="F29" s="129"/>
      <c r="G29" s="129"/>
      <c r="H29" s="130"/>
      <c r="I29" s="129"/>
      <c r="J29" s="129"/>
      <c r="K29" s="130"/>
      <c r="L29" s="129"/>
      <c r="M29" s="129"/>
      <c r="N29" s="130"/>
      <c r="O29" s="129"/>
      <c r="P29" s="129"/>
      <c r="Q29" s="130"/>
    </row>
    <row r="30" spans="1:19" ht="12.75">
      <c r="A30" s="29"/>
      <c r="B30" s="32" t="s">
        <v>31</v>
      </c>
      <c r="C30" s="27">
        <v>6</v>
      </c>
      <c r="D30" s="27">
        <v>2</v>
      </c>
      <c r="E30" s="35">
        <f>SUM(D30/C30)</f>
        <v>0.3333333333333333</v>
      </c>
      <c r="F30" s="129"/>
      <c r="G30" s="129"/>
      <c r="H30" s="130"/>
      <c r="I30" s="129"/>
      <c r="J30" s="129"/>
      <c r="K30" s="130"/>
      <c r="L30" s="129"/>
      <c r="M30" s="129"/>
      <c r="N30" s="130"/>
      <c r="O30" s="129"/>
      <c r="P30" s="129"/>
      <c r="Q30" s="130"/>
      <c r="S30" s="69">
        <v>1356</v>
      </c>
    </row>
    <row r="31" spans="1:19" ht="12.75">
      <c r="A31" s="29"/>
      <c r="B31" s="32" t="s">
        <v>32</v>
      </c>
      <c r="C31" s="27">
        <v>202</v>
      </c>
      <c r="D31" s="27">
        <v>41</v>
      </c>
      <c r="E31" s="35">
        <f>SUM(D31/C31)</f>
        <v>0.20297029702970298</v>
      </c>
      <c r="F31" s="129"/>
      <c r="G31" s="129"/>
      <c r="H31" s="130"/>
      <c r="I31" s="129"/>
      <c r="J31" s="129"/>
      <c r="K31" s="130"/>
      <c r="L31" s="129"/>
      <c r="M31" s="129"/>
      <c r="N31" s="130"/>
      <c r="O31" s="129"/>
      <c r="P31" s="129"/>
      <c r="Q31" s="130"/>
      <c r="S31" s="69">
        <v>9</v>
      </c>
    </row>
    <row r="32" spans="1:19" ht="12.75">
      <c r="A32" s="29"/>
      <c r="B32" s="32" t="s">
        <v>33</v>
      </c>
      <c r="C32" s="27">
        <v>18</v>
      </c>
      <c r="D32" s="27">
        <v>3</v>
      </c>
      <c r="E32" s="35">
        <f>SUM(D32/C32)</f>
        <v>0.16666666666666666</v>
      </c>
      <c r="F32" s="129"/>
      <c r="G32" s="129"/>
      <c r="H32" s="130"/>
      <c r="I32" s="129"/>
      <c r="J32" s="129"/>
      <c r="K32" s="130"/>
      <c r="L32" s="129"/>
      <c r="M32" s="129"/>
      <c r="N32" s="130"/>
      <c r="O32" s="129"/>
      <c r="P32" s="129"/>
      <c r="Q32" s="130"/>
      <c r="S32" s="69">
        <v>233</v>
      </c>
    </row>
    <row r="33" spans="1:19" ht="12.75">
      <c r="A33" s="29"/>
      <c r="B33" s="39" t="s">
        <v>34</v>
      </c>
      <c r="C33" s="28">
        <f>SUM(C29:C32)</f>
        <v>642</v>
      </c>
      <c r="D33" s="28">
        <f>SUM(D29:D32)</f>
        <v>371</v>
      </c>
      <c r="E33" s="40">
        <f>SUM(D33/C33)</f>
        <v>0.5778816199376947</v>
      </c>
      <c r="F33" s="129"/>
      <c r="G33" s="129"/>
      <c r="H33" s="130"/>
      <c r="I33" s="129"/>
      <c r="J33" s="129"/>
      <c r="K33" s="130"/>
      <c r="L33" s="129"/>
      <c r="M33" s="129"/>
      <c r="N33" s="130"/>
      <c r="O33" s="129"/>
      <c r="P33" s="129"/>
      <c r="Q33" s="130"/>
      <c r="S33" s="69">
        <v>46</v>
      </c>
    </row>
    <row r="34" spans="1:19" s="38" customFormat="1" ht="12.75">
      <c r="A34" s="29"/>
      <c r="B34"/>
      <c r="C34"/>
      <c r="D34"/>
      <c r="E34" s="132"/>
      <c r="F34" s="138"/>
      <c r="G34" s="138"/>
      <c r="H34" s="139"/>
      <c r="I34" s="138"/>
      <c r="J34" s="138"/>
      <c r="K34" s="139"/>
      <c r="L34" s="138"/>
      <c r="M34" s="138"/>
      <c r="N34" s="139"/>
      <c r="O34" s="138"/>
      <c r="P34" s="138"/>
      <c r="Q34" s="139"/>
      <c r="S34" s="70">
        <v>1644</v>
      </c>
    </row>
    <row r="35" spans="1:17" s="15" customFormat="1" ht="12.75">
      <c r="A35" s="25" t="s">
        <v>6</v>
      </c>
      <c r="B35" s="32" t="s">
        <v>30</v>
      </c>
      <c r="C35" s="27">
        <v>717</v>
      </c>
      <c r="D35" s="27">
        <v>540</v>
      </c>
      <c r="E35" s="35">
        <f>SUM(D35/C35)</f>
        <v>0.7531380753138075</v>
      </c>
      <c r="F35" s="129"/>
      <c r="G35" s="129"/>
      <c r="H35" s="130"/>
      <c r="I35" s="129"/>
      <c r="J35" s="129"/>
      <c r="K35" s="130"/>
      <c r="L35" s="129"/>
      <c r="M35" s="129"/>
      <c r="N35" s="130"/>
      <c r="O35" s="129"/>
      <c r="P35" s="129"/>
      <c r="Q35" s="130"/>
    </row>
    <row r="36" spans="1:17" s="15" customFormat="1" ht="12.75">
      <c r="A36" s="29"/>
      <c r="B36" s="32" t="s">
        <v>31</v>
      </c>
      <c r="C36" s="27">
        <v>2</v>
      </c>
      <c r="D36" s="27">
        <v>1</v>
      </c>
      <c r="E36" s="35">
        <f>SUM(D36/C36)</f>
        <v>0.5</v>
      </c>
      <c r="F36" s="129"/>
      <c r="G36" s="129"/>
      <c r="H36" s="130"/>
      <c r="I36" s="129"/>
      <c r="J36" s="129"/>
      <c r="K36" s="130"/>
      <c r="L36" s="129"/>
      <c r="M36" s="129"/>
      <c r="N36" s="130"/>
      <c r="O36" s="129"/>
      <c r="P36" s="129"/>
      <c r="Q36" s="130"/>
    </row>
    <row r="37" spans="1:19" ht="12.75">
      <c r="A37" s="29"/>
      <c r="B37" s="32" t="s">
        <v>32</v>
      </c>
      <c r="C37" s="27">
        <v>227</v>
      </c>
      <c r="D37" s="27">
        <v>53</v>
      </c>
      <c r="E37" s="35">
        <f>SUM(D37/C37)</f>
        <v>0.23348017621145375</v>
      </c>
      <c r="F37" s="129"/>
      <c r="G37" s="129"/>
      <c r="H37" s="130"/>
      <c r="I37" s="129"/>
      <c r="J37" s="129"/>
      <c r="K37" s="130"/>
      <c r="L37" s="129"/>
      <c r="M37" s="129"/>
      <c r="N37" s="130"/>
      <c r="O37" s="129"/>
      <c r="P37" s="129"/>
      <c r="Q37" s="130"/>
      <c r="S37" s="69">
        <v>417</v>
      </c>
    </row>
    <row r="38" spans="1:19" ht="12.75">
      <c r="A38" s="29"/>
      <c r="B38" s="32" t="s">
        <v>33</v>
      </c>
      <c r="C38" s="27">
        <v>22</v>
      </c>
      <c r="D38" s="27">
        <v>2</v>
      </c>
      <c r="E38" s="35">
        <f>SUM(D38/C38)</f>
        <v>0.09090909090909091</v>
      </c>
      <c r="F38" s="129"/>
      <c r="G38" s="129"/>
      <c r="H38" s="130"/>
      <c r="I38" s="129"/>
      <c r="J38" s="129"/>
      <c r="K38" s="130"/>
      <c r="L38" s="129"/>
      <c r="M38" s="129"/>
      <c r="N38" s="130"/>
      <c r="O38" s="129"/>
      <c r="P38" s="129"/>
      <c r="Q38" s="130"/>
      <c r="S38" s="69">
        <v>6</v>
      </c>
    </row>
    <row r="39" spans="1:19" ht="12.75">
      <c r="A39" s="29"/>
      <c r="B39" s="39" t="s">
        <v>34</v>
      </c>
      <c r="C39" s="28">
        <f>SUM(C35:C38)</f>
        <v>968</v>
      </c>
      <c r="D39" s="28">
        <f>SUM(D35:D38)</f>
        <v>596</v>
      </c>
      <c r="E39" s="40">
        <f>SUM(D39/C39)</f>
        <v>0.6157024793388429</v>
      </c>
      <c r="F39" s="129"/>
      <c r="G39" s="129"/>
      <c r="H39" s="130"/>
      <c r="I39" s="129"/>
      <c r="J39" s="129"/>
      <c r="K39" s="130"/>
      <c r="L39" s="129"/>
      <c r="M39" s="129"/>
      <c r="N39" s="130"/>
      <c r="O39" s="129"/>
      <c r="P39" s="129"/>
      <c r="Q39" s="130"/>
      <c r="S39" s="69">
        <v>201</v>
      </c>
    </row>
    <row r="40" spans="1:19" ht="12.75">
      <c r="A40" s="29"/>
      <c r="E40" s="132"/>
      <c r="F40" s="129"/>
      <c r="G40" s="129"/>
      <c r="H40" s="130"/>
      <c r="I40" s="129"/>
      <c r="J40" s="129"/>
      <c r="K40" s="130"/>
      <c r="L40" s="129"/>
      <c r="M40" s="129"/>
      <c r="N40" s="130"/>
      <c r="O40" s="129"/>
      <c r="P40" s="129"/>
      <c r="Q40" s="130"/>
      <c r="S40" s="69">
        <v>18</v>
      </c>
    </row>
    <row r="41" spans="1:19" s="38" customFormat="1" ht="12.75">
      <c r="A41" s="25" t="s">
        <v>7</v>
      </c>
      <c r="B41" s="32" t="s">
        <v>30</v>
      </c>
      <c r="C41" s="27">
        <f aca="true" t="shared" si="0" ref="C41:D44">SUM(C5+C11+C17+C23+C29+C35)</f>
        <v>11710</v>
      </c>
      <c r="D41" s="27">
        <f t="shared" si="0"/>
        <v>8990</v>
      </c>
      <c r="E41" s="35">
        <f>SUM(D41/C41)</f>
        <v>0.7677198975234842</v>
      </c>
      <c r="F41" s="138"/>
      <c r="G41" s="138"/>
      <c r="H41" s="139"/>
      <c r="I41" s="138"/>
      <c r="J41" s="138"/>
      <c r="K41" s="139"/>
      <c r="L41" s="138"/>
      <c r="M41" s="138"/>
      <c r="N41" s="139"/>
      <c r="O41" s="138"/>
      <c r="P41" s="138"/>
      <c r="Q41" s="139"/>
      <c r="S41" s="70">
        <v>642</v>
      </c>
    </row>
    <row r="42" spans="1:17" s="15" customFormat="1" ht="12.75">
      <c r="A42" s="29"/>
      <c r="B42" s="32" t="s">
        <v>31</v>
      </c>
      <c r="C42" s="27">
        <f t="shared" si="0"/>
        <v>120</v>
      </c>
      <c r="D42" s="27">
        <f t="shared" si="0"/>
        <v>40</v>
      </c>
      <c r="E42" s="35">
        <f>SUM(D42/C42)</f>
        <v>0.3333333333333333</v>
      </c>
      <c r="F42" s="129"/>
      <c r="G42" s="129"/>
      <c r="H42" s="130"/>
      <c r="I42" s="129"/>
      <c r="J42" s="129"/>
      <c r="K42" s="130"/>
      <c r="L42" s="129"/>
      <c r="M42" s="129"/>
      <c r="N42" s="130"/>
      <c r="O42" s="129"/>
      <c r="P42" s="129"/>
      <c r="Q42" s="130"/>
    </row>
    <row r="43" spans="1:17" s="15" customFormat="1" ht="12.75">
      <c r="A43" s="29"/>
      <c r="B43" s="32" t="s">
        <v>32</v>
      </c>
      <c r="C43" s="27">
        <f t="shared" si="0"/>
        <v>2005</v>
      </c>
      <c r="D43" s="27">
        <f t="shared" si="0"/>
        <v>936</v>
      </c>
      <c r="E43" s="35">
        <f>SUM(D43/C43)</f>
        <v>0.46683291770573565</v>
      </c>
      <c r="F43" s="129"/>
      <c r="G43" s="129"/>
      <c r="H43" s="130"/>
      <c r="I43" s="129"/>
      <c r="J43" s="129"/>
      <c r="K43" s="130"/>
      <c r="L43" s="129"/>
      <c r="M43" s="129"/>
      <c r="N43" s="130"/>
      <c r="O43" s="129"/>
      <c r="P43" s="129"/>
      <c r="Q43" s="130"/>
    </row>
    <row r="44" spans="1:19" ht="12.75">
      <c r="A44" s="29"/>
      <c r="B44" s="32" t="s">
        <v>33</v>
      </c>
      <c r="C44" s="27">
        <f t="shared" si="0"/>
        <v>446</v>
      </c>
      <c r="D44" s="27">
        <f t="shared" si="0"/>
        <v>40</v>
      </c>
      <c r="E44" s="35">
        <f>SUM(D44/C44)</f>
        <v>0.08968609865470852</v>
      </c>
      <c r="F44" s="129"/>
      <c r="G44" s="129"/>
      <c r="H44" s="130"/>
      <c r="I44" s="129"/>
      <c r="J44" s="129"/>
      <c r="K44" s="130"/>
      <c r="L44" s="129"/>
      <c r="M44" s="129"/>
      <c r="N44" s="130"/>
      <c r="O44" s="129"/>
      <c r="P44" s="129"/>
      <c r="Q44" s="130"/>
      <c r="S44" s="69">
        <v>713</v>
      </c>
    </row>
    <row r="45" spans="1:19" ht="12.75">
      <c r="A45" s="29"/>
      <c r="B45" s="39" t="s">
        <v>35</v>
      </c>
      <c r="C45" s="28">
        <f>SUM(C41:C44)</f>
        <v>14281</v>
      </c>
      <c r="D45" s="28">
        <f>SUM(D41:D44)</f>
        <v>10006</v>
      </c>
      <c r="E45" s="40">
        <f>SUM(D45/C45)</f>
        <v>0.7006512149009173</v>
      </c>
      <c r="F45" s="129"/>
      <c r="G45" s="129"/>
      <c r="H45" s="130"/>
      <c r="I45" s="129"/>
      <c r="J45" s="129"/>
      <c r="K45" s="130"/>
      <c r="L45" s="129"/>
      <c r="M45" s="129"/>
      <c r="N45" s="130"/>
      <c r="O45" s="129"/>
      <c r="P45" s="129"/>
      <c r="Q45" s="130"/>
      <c r="S45" s="69">
        <v>2</v>
      </c>
    </row>
    <row r="46" spans="1:19" ht="12.75">
      <c r="A46" s="143"/>
      <c r="B46" s="137"/>
      <c r="C46" s="129"/>
      <c r="D46" s="129"/>
      <c r="E46" s="130"/>
      <c r="F46" s="129"/>
      <c r="G46" s="129"/>
      <c r="H46" s="130"/>
      <c r="I46" s="129"/>
      <c r="J46" s="129"/>
      <c r="K46" s="130"/>
      <c r="L46" s="129"/>
      <c r="M46" s="129"/>
      <c r="N46" s="130"/>
      <c r="O46" s="129"/>
      <c r="P46" s="129"/>
      <c r="Q46" s="130"/>
      <c r="S46" s="69">
        <v>231</v>
      </c>
    </row>
    <row r="47" spans="1:19" ht="12.75">
      <c r="A47" s="143"/>
      <c r="B47" s="137"/>
      <c r="C47" s="129"/>
      <c r="D47" s="129"/>
      <c r="E47" s="130"/>
      <c r="F47" s="129"/>
      <c r="G47" s="129"/>
      <c r="H47" s="130"/>
      <c r="I47" s="129"/>
      <c r="J47" s="129"/>
      <c r="K47" s="130"/>
      <c r="L47" s="129"/>
      <c r="M47" s="129"/>
      <c r="N47" s="130"/>
      <c r="O47" s="129"/>
      <c r="P47" s="129"/>
      <c r="Q47" s="130"/>
      <c r="S47" s="69">
        <v>22</v>
      </c>
    </row>
    <row r="48" spans="1:19" s="38" customFormat="1" ht="12.75">
      <c r="A48" s="135"/>
      <c r="B48" s="144"/>
      <c r="C48" s="138"/>
      <c r="D48" s="138"/>
      <c r="E48" s="139"/>
      <c r="F48" s="138"/>
      <c r="G48" s="138"/>
      <c r="H48" s="139"/>
      <c r="I48" s="138"/>
      <c r="J48" s="138"/>
      <c r="K48" s="139"/>
      <c r="L48" s="138"/>
      <c r="M48" s="138"/>
      <c r="N48" s="139"/>
      <c r="O48" s="138"/>
      <c r="P48" s="138"/>
      <c r="Q48" s="139"/>
      <c r="S48" s="70">
        <v>968</v>
      </c>
    </row>
    <row r="49" spans="1:17" s="15" customFormat="1" ht="12.75">
      <c r="A49" s="143"/>
      <c r="B49" s="137"/>
      <c r="C49" s="129"/>
      <c r="D49" s="129"/>
      <c r="E49" s="130"/>
      <c r="F49" s="129"/>
      <c r="G49" s="129"/>
      <c r="H49" s="130"/>
      <c r="I49" s="129"/>
      <c r="J49" s="129"/>
      <c r="K49" s="130"/>
      <c r="L49" s="129"/>
      <c r="M49" s="129"/>
      <c r="N49" s="130"/>
      <c r="O49" s="129"/>
      <c r="P49" s="129"/>
      <c r="Q49" s="130"/>
    </row>
    <row r="50" spans="1:17" s="15" customFormat="1" ht="12.75">
      <c r="A50" s="145"/>
      <c r="B50" s="146"/>
      <c r="C50" s="131"/>
      <c r="D50" s="131"/>
      <c r="E50" s="130"/>
      <c r="F50" s="131"/>
      <c r="G50" s="131"/>
      <c r="H50" s="130"/>
      <c r="I50" s="131"/>
      <c r="J50" s="131"/>
      <c r="K50" s="130"/>
      <c r="L50" s="131"/>
      <c r="M50" s="131"/>
      <c r="N50" s="130"/>
      <c r="O50" s="131"/>
      <c r="P50" s="131"/>
      <c r="Q50" s="130"/>
    </row>
    <row r="51" spans="1:19" ht="12.75">
      <c r="A51" s="145"/>
      <c r="B51" s="146"/>
      <c r="C51" s="131"/>
      <c r="D51" s="131"/>
      <c r="E51" s="140"/>
      <c r="F51" s="131"/>
      <c r="G51" s="131"/>
      <c r="H51" s="140"/>
      <c r="I51" s="131"/>
      <c r="J51" s="131"/>
      <c r="K51" s="140"/>
      <c r="L51" s="131"/>
      <c r="M51" s="131"/>
      <c r="N51" s="140"/>
      <c r="O51" s="131"/>
      <c r="P51" s="131"/>
      <c r="Q51" s="140"/>
      <c r="S51" s="69">
        <v>11728</v>
      </c>
    </row>
    <row r="52" spans="1:19" ht="12.75">
      <c r="A52" s="145"/>
      <c r="B52" s="146"/>
      <c r="C52" s="131"/>
      <c r="D52" s="131"/>
      <c r="E52" s="140"/>
      <c r="F52" s="131"/>
      <c r="G52" s="131"/>
      <c r="H52" s="140"/>
      <c r="I52" s="131"/>
      <c r="J52" s="131"/>
      <c r="K52" s="140"/>
      <c r="L52" s="131"/>
      <c r="M52" s="131"/>
      <c r="N52" s="140"/>
      <c r="O52" s="131"/>
      <c r="P52" s="131"/>
      <c r="Q52" s="140"/>
      <c r="S52" s="69">
        <v>121</v>
      </c>
    </row>
    <row r="53" spans="1:19" ht="12.75">
      <c r="A53" s="145"/>
      <c r="B53" s="146"/>
      <c r="C53" s="131"/>
      <c r="D53" s="131"/>
      <c r="E53" s="140"/>
      <c r="F53" s="131"/>
      <c r="G53" s="131"/>
      <c r="H53" s="140"/>
      <c r="I53" s="131"/>
      <c r="J53" s="131"/>
      <c r="K53" s="140"/>
      <c r="L53" s="131"/>
      <c r="M53" s="131"/>
      <c r="N53" s="140"/>
      <c r="O53" s="131"/>
      <c r="P53" s="131"/>
      <c r="Q53" s="140"/>
      <c r="S53" s="69">
        <v>1990</v>
      </c>
    </row>
    <row r="54" spans="1:19" ht="12.75">
      <c r="A54" s="145"/>
      <c r="B54" s="146"/>
      <c r="C54" s="131"/>
      <c r="D54" s="131"/>
      <c r="E54" s="140"/>
      <c r="F54" s="131"/>
      <c r="G54" s="131"/>
      <c r="H54" s="140"/>
      <c r="I54" s="131"/>
      <c r="J54" s="131"/>
      <c r="K54" s="140"/>
      <c r="L54" s="131"/>
      <c r="M54" s="131"/>
      <c r="N54" s="140"/>
      <c r="O54" s="131"/>
      <c r="P54" s="131"/>
      <c r="Q54" s="140"/>
      <c r="S54" s="69">
        <v>446</v>
      </c>
    </row>
    <row r="55" spans="1:19" ht="12.75">
      <c r="A55" s="145"/>
      <c r="B55" s="147"/>
      <c r="C55" s="141"/>
      <c r="D55" s="141"/>
      <c r="E55" s="142"/>
      <c r="F55" s="141"/>
      <c r="G55" s="141"/>
      <c r="H55" s="142"/>
      <c r="I55" s="141"/>
      <c r="J55" s="141"/>
      <c r="K55" s="142"/>
      <c r="L55" s="141"/>
      <c r="M55" s="141"/>
      <c r="N55" s="142"/>
      <c r="O55" s="141"/>
      <c r="P55" s="141"/>
      <c r="Q55" s="142"/>
      <c r="S55" s="69">
        <v>14285</v>
      </c>
    </row>
    <row r="56" spans="1:11" s="15" customFormat="1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</row>
    <row r="57" spans="1:11" s="15" customFormat="1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</row>
    <row r="58" spans="1:11" s="15" customFormat="1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s="15" customFormat="1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s="15" customFormat="1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s="15" customFormat="1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</row>
    <row r="62" spans="1:11" s="15" customFormat="1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</row>
    <row r="63" spans="1:11" s="15" customFormat="1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</row>
    <row r="64" spans="1:11" s="15" customFormat="1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</row>
    <row r="65" spans="1:11" s="15" customFormat="1" ht="12.75">
      <c r="A65" s="134"/>
      <c r="B65" s="134"/>
      <c r="C65" s="134"/>
      <c r="D65" s="134"/>
      <c r="E65" s="134"/>
      <c r="F65" s="134"/>
      <c r="G65" s="134"/>
      <c r="H65" s="134"/>
      <c r="I65" s="134"/>
      <c r="J65" s="134"/>
      <c r="K65" s="134"/>
    </row>
    <row r="66" spans="1:11" s="15" customFormat="1" ht="12.7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</row>
    <row r="67" spans="1:11" s="15" customFormat="1" ht="12.7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</row>
    <row r="68" spans="1:11" s="15" customFormat="1" ht="12.75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1" s="15" customFormat="1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</row>
    <row r="70" spans="1:11" s="15" customFormat="1" ht="12.75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</row>
    <row r="71" spans="1:11" s="15" customFormat="1" ht="12.7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</row>
    <row r="72" spans="1:11" s="15" customFormat="1" ht="12.75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</row>
    <row r="73" spans="1:11" s="15" customFormat="1" ht="12.75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1" s="15" customFormat="1" ht="12.75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</row>
    <row r="75" spans="1:11" s="15" customFormat="1" ht="12.75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</row>
    <row r="76" spans="1:11" s="15" customFormat="1" ht="12.75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</row>
    <row r="77" spans="1:11" s="15" customFormat="1" ht="12.75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</row>
    <row r="78" spans="1:11" s="15" customFormat="1" ht="12.75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</row>
    <row r="79" spans="1:11" s="15" customFormat="1" ht="12.75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</row>
    <row r="80" spans="1:11" s="15" customFormat="1" ht="12.75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</row>
    <row r="81" spans="1:11" s="15" customFormat="1" ht="12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s="15" customFormat="1" ht="12.75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</row>
    <row r="83" spans="1:11" s="15" customFormat="1" ht="12.75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</row>
    <row r="84" spans="1:11" s="15" customFormat="1" ht="12.75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</row>
    <row r="85" spans="1:11" s="15" customFormat="1" ht="12.75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</row>
    <row r="86" spans="1:11" s="15" customFormat="1" ht="12.75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</row>
    <row r="87" spans="1:11" s="15" customFormat="1" ht="12.75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</row>
    <row r="88" spans="1:11" s="15" customFormat="1" ht="12.75">
      <c r="A88" s="134"/>
      <c r="B88" s="134"/>
      <c r="C88" s="134"/>
      <c r="D88" s="134"/>
      <c r="E88" s="134"/>
      <c r="F88" s="134"/>
      <c r="G88" s="134"/>
      <c r="H88" s="134"/>
      <c r="I88" s="134"/>
      <c r="J88" s="134"/>
      <c r="K88" s="134"/>
    </row>
    <row r="89" spans="1:11" s="15" customFormat="1" ht="12.75">
      <c r="A89" s="134"/>
      <c r="B89" s="134"/>
      <c r="C89" s="134"/>
      <c r="D89" s="134"/>
      <c r="E89" s="134"/>
      <c r="F89" s="134"/>
      <c r="G89" s="134"/>
      <c r="H89" s="134"/>
      <c r="I89" s="134"/>
      <c r="J89" s="134"/>
      <c r="K89" s="134"/>
    </row>
    <row r="90" spans="1:11" s="15" customFormat="1" ht="12.75">
      <c r="A90" s="134"/>
      <c r="B90" s="134"/>
      <c r="C90" s="134"/>
      <c r="D90" s="134"/>
      <c r="E90" s="134"/>
      <c r="F90" s="134"/>
      <c r="G90" s="134"/>
      <c r="H90" s="134"/>
      <c r="I90" s="134"/>
      <c r="J90" s="134"/>
      <c r="K90" s="134"/>
    </row>
    <row r="91" spans="1:11" s="15" customFormat="1" ht="12.75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</row>
    <row r="92" spans="1:11" ht="12.75">
      <c r="A92" s="128"/>
      <c r="B92" s="128"/>
      <c r="C92" s="128"/>
      <c r="D92" s="128"/>
      <c r="E92" s="128"/>
      <c r="F92" s="128"/>
      <c r="G92" s="128"/>
      <c r="H92" s="128"/>
      <c r="I92" s="128"/>
      <c r="J92" s="128"/>
      <c r="K92" s="128"/>
    </row>
    <row r="93" spans="1:11" ht="12.75">
      <c r="A93" s="128"/>
      <c r="B93" s="128"/>
      <c r="C93" s="128"/>
      <c r="D93" s="128"/>
      <c r="E93" s="128"/>
      <c r="F93" s="128"/>
      <c r="G93" s="128"/>
      <c r="H93" s="128"/>
      <c r="I93" s="128"/>
      <c r="J93" s="128"/>
      <c r="K93" s="128"/>
    </row>
    <row r="94" spans="1:11" ht="12.7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</row>
    <row r="95" spans="1:11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8"/>
    </row>
    <row r="96" spans="1:11" ht="12.75">
      <c r="A96" s="128"/>
      <c r="B96" s="128"/>
      <c r="C96" s="128"/>
      <c r="D96" s="128"/>
      <c r="E96" s="128"/>
      <c r="F96" s="128"/>
      <c r="G96" s="128"/>
      <c r="H96" s="128"/>
      <c r="I96" s="128"/>
      <c r="J96" s="128"/>
      <c r="K96" s="128"/>
    </row>
    <row r="97" spans="1:11" ht="12.7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</row>
    <row r="98" spans="1:11" ht="12.75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</row>
    <row r="99" spans="1:11" ht="12.7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</row>
    <row r="100" spans="1:11" ht="12.7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</row>
    <row r="101" spans="1:11" ht="12.7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</row>
    <row r="102" spans="1:11" ht="12.75">
      <c r="A102" s="128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</row>
    <row r="103" spans="1:11" ht="12.75">
      <c r="A103" s="128"/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</row>
    <row r="104" spans="1:11" ht="12.75">
      <c r="A104" s="128"/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</row>
    <row r="105" spans="1:11" ht="12.75">
      <c r="A105" s="128"/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  <row r="111" spans="1:11" ht="12.75">
      <c r="A111" s="128"/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</row>
  </sheetData>
  <mergeCells count="6">
    <mergeCell ref="O6:Q6"/>
    <mergeCell ref="F6:H6"/>
    <mergeCell ref="F5:H5"/>
    <mergeCell ref="I6:K6"/>
    <mergeCell ref="L6:N6"/>
    <mergeCell ref="O5:Q5"/>
  </mergeCells>
  <printOptions/>
  <pageMargins left="0.9" right="0.1968503937007874" top="0.36" bottom="0.1968503937007874" header="0.5118110236220472" footer="0.26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A1" sqref="A1"/>
    </sheetView>
  </sheetViews>
  <sheetFormatPr defaultColWidth="9.140625" defaultRowHeight="12.75"/>
  <cols>
    <col min="1" max="2" width="14.28125" style="0" customWidth="1"/>
    <col min="3" max="3" width="25.140625" style="0" customWidth="1"/>
    <col min="4" max="4" width="25.7109375" style="0" customWidth="1"/>
    <col min="5" max="5" width="28.28125" style="0" customWidth="1"/>
    <col min="6" max="6" width="28.8515625" style="0" customWidth="1"/>
    <col min="7" max="7" width="23.28125" style="0" customWidth="1"/>
    <col min="8" max="8" width="22.140625" style="0" customWidth="1"/>
  </cols>
  <sheetData>
    <row r="1" ht="12.75">
      <c r="A1" t="s">
        <v>186</v>
      </c>
    </row>
    <row r="3" spans="1:7" ht="18">
      <c r="A3" s="17" t="s">
        <v>140</v>
      </c>
      <c r="B3" s="17"/>
      <c r="C3" s="18"/>
      <c r="D3" s="18"/>
      <c r="E3" s="18"/>
      <c r="F3" s="18"/>
      <c r="G3" s="18"/>
    </row>
    <row r="4" spans="1:7" ht="18">
      <c r="A4" s="17"/>
      <c r="B4" s="17"/>
      <c r="C4" s="18"/>
      <c r="D4" s="18"/>
      <c r="E4" s="18"/>
      <c r="F4" s="18"/>
      <c r="G4" s="18"/>
    </row>
    <row r="5" spans="1:5" ht="18">
      <c r="A5" s="17"/>
      <c r="B5" s="17"/>
      <c r="C5" s="18"/>
      <c r="D5" s="18"/>
      <c r="E5" s="18"/>
    </row>
    <row r="6" spans="1:7" ht="12.75">
      <c r="A6" s="31" t="s">
        <v>21</v>
      </c>
      <c r="B6" s="31" t="s">
        <v>141</v>
      </c>
      <c r="C6" s="31" t="s">
        <v>91</v>
      </c>
      <c r="D6" s="25" t="s">
        <v>94</v>
      </c>
      <c r="E6" s="167" t="s">
        <v>95</v>
      </c>
      <c r="F6" s="25" t="s">
        <v>96</v>
      </c>
      <c r="G6" s="54"/>
    </row>
    <row r="7" spans="1:7" ht="12.75">
      <c r="A7" s="148" t="s">
        <v>1</v>
      </c>
      <c r="B7" s="148" t="s">
        <v>137</v>
      </c>
      <c r="C7" s="33">
        <v>6254</v>
      </c>
      <c r="D7" s="34">
        <v>1403</v>
      </c>
      <c r="E7" s="132">
        <f>SUM(D7/C7)</f>
        <v>0.22433642468819956</v>
      </c>
      <c r="F7" s="27">
        <v>9532</v>
      </c>
      <c r="G7" s="47"/>
    </row>
    <row r="8" spans="1:7" ht="12.75">
      <c r="A8" s="148"/>
      <c r="B8" s="148" t="s">
        <v>138</v>
      </c>
      <c r="C8" s="33">
        <v>507</v>
      </c>
      <c r="D8" s="34">
        <v>151</v>
      </c>
      <c r="E8" s="132">
        <f aca="true" t="shared" si="0" ref="E8:E40">SUM(D8/C8)</f>
        <v>0.2978303747534517</v>
      </c>
      <c r="F8" s="27">
        <v>2062</v>
      </c>
      <c r="G8" s="47"/>
    </row>
    <row r="9" spans="1:7" ht="12.75">
      <c r="A9" s="148"/>
      <c r="B9" s="148" t="s">
        <v>139</v>
      </c>
      <c r="C9" s="33">
        <v>88</v>
      </c>
      <c r="D9" s="34">
        <v>59</v>
      </c>
      <c r="E9" s="132">
        <f t="shared" si="0"/>
        <v>0.6704545454545454</v>
      </c>
      <c r="F9" s="27">
        <v>570</v>
      </c>
      <c r="G9" s="47"/>
    </row>
    <row r="10" spans="1:7" ht="12.75">
      <c r="A10" s="148"/>
      <c r="B10" s="148" t="s">
        <v>7</v>
      </c>
      <c r="C10" s="31">
        <f>SUM(C7:C9)</f>
        <v>6849</v>
      </c>
      <c r="D10" s="170">
        <f>SUM(D7:D9)</f>
        <v>1613</v>
      </c>
      <c r="E10" s="168">
        <f t="shared" si="0"/>
        <v>0.2355088334063367</v>
      </c>
      <c r="F10" s="28">
        <f>SUM(F7:F9)</f>
        <v>12164</v>
      </c>
      <c r="G10" s="47"/>
    </row>
    <row r="11" spans="1:7" ht="12.75">
      <c r="A11" s="148"/>
      <c r="B11" s="148"/>
      <c r="C11" s="33"/>
      <c r="D11" s="34"/>
      <c r="E11" s="132"/>
      <c r="F11" s="27"/>
      <c r="G11" s="47"/>
    </row>
    <row r="12" spans="1:7" ht="12.75">
      <c r="A12" s="39" t="s">
        <v>2</v>
      </c>
      <c r="B12" s="148" t="s">
        <v>137</v>
      </c>
      <c r="C12" s="27">
        <v>1151</v>
      </c>
      <c r="D12" s="27">
        <v>211</v>
      </c>
      <c r="E12" s="132">
        <f t="shared" si="0"/>
        <v>0.1833188531711555</v>
      </c>
      <c r="F12" s="27">
        <v>2219</v>
      </c>
      <c r="G12" s="47"/>
    </row>
    <row r="13" spans="1:7" ht="12.75">
      <c r="A13" s="39"/>
      <c r="B13" s="148" t="s">
        <v>138</v>
      </c>
      <c r="C13" s="27">
        <v>77</v>
      </c>
      <c r="D13" s="27">
        <v>32</v>
      </c>
      <c r="E13" s="132">
        <f t="shared" si="0"/>
        <v>0.4155844155844156</v>
      </c>
      <c r="F13" s="27">
        <v>471</v>
      </c>
      <c r="G13" s="47"/>
    </row>
    <row r="14" spans="1:7" ht="12.75">
      <c r="A14" s="39"/>
      <c r="B14" s="148" t="s">
        <v>139</v>
      </c>
      <c r="C14" s="27">
        <v>11</v>
      </c>
      <c r="D14" s="27">
        <v>6</v>
      </c>
      <c r="E14" s="132">
        <f t="shared" si="0"/>
        <v>0.5454545454545454</v>
      </c>
      <c r="F14" s="27">
        <v>59</v>
      </c>
      <c r="G14" s="47"/>
    </row>
    <row r="15" spans="1:7" ht="12.75">
      <c r="A15" s="39"/>
      <c r="B15" s="39" t="s">
        <v>7</v>
      </c>
      <c r="C15" s="28">
        <f>SUM(C12:C14)</f>
        <v>1239</v>
      </c>
      <c r="D15" s="28">
        <f>SUM(D12:D14)</f>
        <v>249</v>
      </c>
      <c r="E15" s="168">
        <f t="shared" si="0"/>
        <v>0.2009685230024213</v>
      </c>
      <c r="F15" s="28">
        <f>SUM(F12:F14)</f>
        <v>2749</v>
      </c>
      <c r="G15" s="47"/>
    </row>
    <row r="16" spans="1:7" ht="12.75">
      <c r="A16" s="39"/>
      <c r="B16" s="39"/>
      <c r="C16" s="27"/>
      <c r="D16" s="27"/>
      <c r="E16" s="132"/>
      <c r="F16" s="27"/>
      <c r="G16" s="47"/>
    </row>
    <row r="17" spans="1:7" ht="12.75">
      <c r="A17" s="39" t="s">
        <v>3</v>
      </c>
      <c r="B17" s="148" t="s">
        <v>137</v>
      </c>
      <c r="C17" s="27">
        <v>1164</v>
      </c>
      <c r="D17" s="27">
        <v>255</v>
      </c>
      <c r="E17" s="132">
        <f t="shared" si="0"/>
        <v>0.2190721649484536</v>
      </c>
      <c r="F17" s="27">
        <v>2133</v>
      </c>
      <c r="G17" s="47"/>
    </row>
    <row r="18" spans="1:7" ht="12.75">
      <c r="A18" s="39"/>
      <c r="B18" s="148" t="s">
        <v>138</v>
      </c>
      <c r="C18" s="27">
        <v>73</v>
      </c>
      <c r="D18" s="27">
        <v>25</v>
      </c>
      <c r="E18" s="132">
        <f t="shared" si="0"/>
        <v>0.3424657534246575</v>
      </c>
      <c r="F18" s="27">
        <v>311</v>
      </c>
      <c r="G18" s="47"/>
    </row>
    <row r="19" spans="1:7" ht="12.75">
      <c r="A19" s="39"/>
      <c r="B19" s="148" t="s">
        <v>139</v>
      </c>
      <c r="C19" s="27">
        <v>4</v>
      </c>
      <c r="D19" s="27">
        <v>4</v>
      </c>
      <c r="E19" s="132">
        <f t="shared" si="0"/>
        <v>1</v>
      </c>
      <c r="F19" s="27">
        <v>70</v>
      </c>
      <c r="G19" s="47"/>
    </row>
    <row r="20" spans="1:7" ht="12.75">
      <c r="A20" s="39"/>
      <c r="B20" s="39" t="s">
        <v>7</v>
      </c>
      <c r="C20" s="28">
        <f>SUM(C17:C19)</f>
        <v>1241</v>
      </c>
      <c r="D20" s="28">
        <f>SUM(D17:D19)</f>
        <v>284</v>
      </c>
      <c r="E20" s="168">
        <f t="shared" si="0"/>
        <v>0.22884770346494762</v>
      </c>
      <c r="F20" s="28">
        <f>SUM(F17:F19)</f>
        <v>2514</v>
      </c>
      <c r="G20" s="47"/>
    </row>
    <row r="21" spans="1:7" ht="12.75">
      <c r="A21" s="39"/>
      <c r="B21" s="39"/>
      <c r="C21" s="27"/>
      <c r="D21" s="27"/>
      <c r="E21" s="132"/>
      <c r="F21" s="27"/>
      <c r="G21" s="47"/>
    </row>
    <row r="22" spans="1:7" ht="12.75">
      <c r="A22" s="39" t="s">
        <v>4</v>
      </c>
      <c r="B22" s="148" t="s">
        <v>137</v>
      </c>
      <c r="C22" s="27">
        <v>1278</v>
      </c>
      <c r="D22" s="27">
        <v>349</v>
      </c>
      <c r="E22" s="132">
        <f t="shared" si="0"/>
        <v>0.2730829420970266</v>
      </c>
      <c r="F22" s="27">
        <v>2909</v>
      </c>
      <c r="G22" s="47"/>
    </row>
    <row r="23" spans="1:7" ht="12.75">
      <c r="A23" s="39"/>
      <c r="B23" s="148" t="s">
        <v>138</v>
      </c>
      <c r="C23" s="27">
        <v>73</v>
      </c>
      <c r="D23" s="27">
        <v>26</v>
      </c>
      <c r="E23" s="132">
        <f t="shared" si="0"/>
        <v>0.3561643835616438</v>
      </c>
      <c r="F23" s="27">
        <v>345</v>
      </c>
      <c r="G23" s="47"/>
    </row>
    <row r="24" spans="1:7" ht="12.75">
      <c r="A24" s="39"/>
      <c r="B24" s="148" t="s">
        <v>139</v>
      </c>
      <c r="C24" s="27">
        <v>9</v>
      </c>
      <c r="D24" s="27">
        <v>6</v>
      </c>
      <c r="E24" s="132">
        <f t="shared" si="0"/>
        <v>0.6666666666666666</v>
      </c>
      <c r="F24" s="27">
        <v>59</v>
      </c>
      <c r="G24" s="47"/>
    </row>
    <row r="25" spans="1:7" ht="12.75">
      <c r="A25" s="39"/>
      <c r="B25" s="39" t="s">
        <v>7</v>
      </c>
      <c r="C25" s="28">
        <f>SUM(C22:C24)</f>
        <v>1360</v>
      </c>
      <c r="D25" s="28">
        <f>SUM(D22:D24)</f>
        <v>381</v>
      </c>
      <c r="E25" s="168">
        <f t="shared" si="0"/>
        <v>0.2801470588235294</v>
      </c>
      <c r="F25" s="28">
        <f>SUM(F22:F24)</f>
        <v>3313</v>
      </c>
      <c r="G25" s="47"/>
    </row>
    <row r="26" spans="1:7" ht="12.75">
      <c r="A26" s="39"/>
      <c r="B26" s="39"/>
      <c r="C26" s="27"/>
      <c r="D26" s="27"/>
      <c r="E26" s="132"/>
      <c r="F26" s="27"/>
      <c r="G26" s="47"/>
    </row>
    <row r="27" spans="1:7" ht="12.75">
      <c r="A27" s="39" t="s">
        <v>5</v>
      </c>
      <c r="B27" s="148" t="s">
        <v>137</v>
      </c>
      <c r="C27" s="27">
        <v>390</v>
      </c>
      <c r="D27" s="27">
        <v>82</v>
      </c>
      <c r="E27" s="132">
        <f t="shared" si="0"/>
        <v>0.21025641025641026</v>
      </c>
      <c r="F27" s="27">
        <v>1385</v>
      </c>
      <c r="G27" s="47"/>
    </row>
    <row r="28" spans="1:7" ht="12.75">
      <c r="A28" s="39"/>
      <c r="B28" s="148" t="s">
        <v>138</v>
      </c>
      <c r="C28" s="27">
        <v>26</v>
      </c>
      <c r="D28" s="27">
        <v>9</v>
      </c>
      <c r="E28" s="132">
        <f t="shared" si="0"/>
        <v>0.34615384615384615</v>
      </c>
      <c r="F28" s="27">
        <v>172</v>
      </c>
      <c r="G28" s="47"/>
    </row>
    <row r="29" spans="1:7" ht="12.75">
      <c r="A29" s="39"/>
      <c r="B29" s="148" t="s">
        <v>139</v>
      </c>
      <c r="C29" s="27">
        <v>6</v>
      </c>
      <c r="D29" s="27">
        <v>4</v>
      </c>
      <c r="E29" s="132">
        <f t="shared" si="0"/>
        <v>0.6666666666666666</v>
      </c>
      <c r="F29" s="27">
        <v>44</v>
      </c>
      <c r="G29" s="47"/>
    </row>
    <row r="30" spans="1:7" ht="12.75">
      <c r="A30" s="39"/>
      <c r="B30" s="39" t="s">
        <v>7</v>
      </c>
      <c r="C30" s="28">
        <f>SUM(C27:C29)</f>
        <v>422</v>
      </c>
      <c r="D30" s="28">
        <f>SUM(D27:D29)</f>
        <v>95</v>
      </c>
      <c r="E30" s="168">
        <f t="shared" si="0"/>
        <v>0.22511848341232227</v>
      </c>
      <c r="F30" s="28">
        <f>SUM(F27:F29)</f>
        <v>1601</v>
      </c>
      <c r="G30" s="47"/>
    </row>
    <row r="31" spans="1:7" ht="12.75">
      <c r="A31" s="39"/>
      <c r="B31" s="39"/>
      <c r="C31" s="27"/>
      <c r="D31" s="27"/>
      <c r="E31" s="132"/>
      <c r="F31" s="27"/>
      <c r="G31" s="47"/>
    </row>
    <row r="32" spans="1:7" ht="12.75">
      <c r="A32" s="39" t="s">
        <v>6</v>
      </c>
      <c r="B32" s="148" t="s">
        <v>137</v>
      </c>
      <c r="C32" s="27">
        <v>671</v>
      </c>
      <c r="D32" s="27">
        <v>159</v>
      </c>
      <c r="E32" s="132">
        <f t="shared" si="0"/>
        <v>0.23695976154992549</v>
      </c>
      <c r="F32" s="27">
        <v>2108</v>
      </c>
      <c r="G32" s="47"/>
    </row>
    <row r="33" spans="1:7" ht="12.75">
      <c r="A33" s="39"/>
      <c r="B33" s="148" t="s">
        <v>138</v>
      </c>
      <c r="C33" s="27">
        <v>46</v>
      </c>
      <c r="D33" s="27">
        <v>18</v>
      </c>
      <c r="E33" s="132">
        <f t="shared" si="0"/>
        <v>0.391304347826087</v>
      </c>
      <c r="F33" s="27">
        <v>352</v>
      </c>
      <c r="G33" s="47"/>
    </row>
    <row r="34" spans="1:7" ht="12.75">
      <c r="A34" s="39"/>
      <c r="B34" s="148" t="s">
        <v>139</v>
      </c>
      <c r="C34" s="27">
        <v>2</v>
      </c>
      <c r="D34" s="27">
        <v>1</v>
      </c>
      <c r="E34" s="132">
        <f t="shared" si="0"/>
        <v>0.5</v>
      </c>
      <c r="F34" s="27">
        <v>37</v>
      </c>
      <c r="G34" s="47"/>
    </row>
    <row r="35" spans="1:7" ht="12.75">
      <c r="A35" s="39"/>
      <c r="B35" s="39" t="s">
        <v>7</v>
      </c>
      <c r="C35" s="28">
        <f>SUM(C32:C34)</f>
        <v>719</v>
      </c>
      <c r="D35" s="28">
        <f>SUM(D32:D34)</f>
        <v>178</v>
      </c>
      <c r="E35" s="168">
        <f t="shared" si="0"/>
        <v>0.24756606397774686</v>
      </c>
      <c r="F35" s="28">
        <f>SUM(F32:F34)</f>
        <v>2497</v>
      </c>
      <c r="G35" s="47"/>
    </row>
    <row r="36" spans="1:7" ht="12.75">
      <c r="A36" s="39"/>
      <c r="B36" s="39"/>
      <c r="C36" s="27"/>
      <c r="D36" s="27"/>
      <c r="E36" s="132"/>
      <c r="F36" s="27"/>
      <c r="G36" s="47"/>
    </row>
    <row r="37" spans="1:7" ht="12.75">
      <c r="A37" s="39" t="s">
        <v>7</v>
      </c>
      <c r="B37" s="148" t="s">
        <v>137</v>
      </c>
      <c r="C37" s="28">
        <f>SUM(C7+C12+C17+C22+C27+C32)</f>
        <v>10908</v>
      </c>
      <c r="D37" s="28">
        <f>SUM(D7+D12+D17+D22+D27+D32)</f>
        <v>2459</v>
      </c>
      <c r="E37" s="168">
        <f t="shared" si="0"/>
        <v>0.22543087642097542</v>
      </c>
      <c r="F37" s="28">
        <f>SUM(F7+F12+F17+F22+F27+F32)</f>
        <v>20286</v>
      </c>
      <c r="G37" s="57"/>
    </row>
    <row r="38" spans="1:6" ht="12.75">
      <c r="A38" s="9"/>
      <c r="B38" s="148" t="s">
        <v>138</v>
      </c>
      <c r="C38" s="28">
        <f aca="true" t="shared" si="1" ref="C38:D40">SUM(C8+C13+C18+C23+C28+C33)</f>
        <v>802</v>
      </c>
      <c r="D38" s="28">
        <f t="shared" si="1"/>
        <v>261</v>
      </c>
      <c r="E38" s="168">
        <f t="shared" si="0"/>
        <v>0.3254364089775561</v>
      </c>
      <c r="F38" s="28">
        <f>SUM(F8+F13+F18+F23+F28+F33)</f>
        <v>3713</v>
      </c>
    </row>
    <row r="39" spans="1:6" ht="12.75">
      <c r="A39" s="9"/>
      <c r="B39" s="148" t="s">
        <v>139</v>
      </c>
      <c r="C39" s="28">
        <f t="shared" si="1"/>
        <v>120</v>
      </c>
      <c r="D39" s="28">
        <f t="shared" si="1"/>
        <v>80</v>
      </c>
      <c r="E39" s="168">
        <f t="shared" si="0"/>
        <v>0.6666666666666666</v>
      </c>
      <c r="F39" s="28">
        <f>SUM(F9+F14+F19+F24+F29+F34)</f>
        <v>839</v>
      </c>
    </row>
    <row r="40" spans="1:6" ht="12.75">
      <c r="A40" s="9"/>
      <c r="B40" s="169" t="s">
        <v>7</v>
      </c>
      <c r="C40" s="28">
        <f t="shared" si="1"/>
        <v>11830</v>
      </c>
      <c r="D40" s="28">
        <f t="shared" si="1"/>
        <v>2800</v>
      </c>
      <c r="E40" s="168">
        <f t="shared" si="0"/>
        <v>0.23668639053254437</v>
      </c>
      <c r="F40" s="28">
        <f>SUM(F10+F15+F20+F25+F30+F35)</f>
        <v>24838</v>
      </c>
    </row>
    <row r="45" ht="12.75">
      <c r="A45" t="s">
        <v>187</v>
      </c>
    </row>
    <row r="46" spans="1:8" s="163" customFormat="1" ht="15.75">
      <c r="A46" s="161" t="s">
        <v>125</v>
      </c>
      <c r="B46" s="161"/>
      <c r="C46" s="162"/>
      <c r="D46" s="162"/>
      <c r="E46" s="162"/>
      <c r="F46" s="162"/>
      <c r="G46" s="162"/>
      <c r="H46" s="162"/>
    </row>
    <row r="47" spans="1:8" ht="12.75">
      <c r="A47" s="159" t="s">
        <v>133</v>
      </c>
      <c r="B47" s="159"/>
      <c r="C47" s="160"/>
      <c r="D47" s="160"/>
      <c r="E47" s="18"/>
      <c r="F47" s="18"/>
      <c r="G47" s="18"/>
      <c r="H47" s="18"/>
    </row>
    <row r="48" spans="1:4" ht="12.75">
      <c r="A48" s="157"/>
      <c r="B48" s="157"/>
      <c r="C48" s="37"/>
      <c r="D48" s="37"/>
    </row>
    <row r="50" spans="1:7" ht="12.75">
      <c r="A50" s="25" t="s">
        <v>21</v>
      </c>
      <c r="B50" s="25" t="s">
        <v>141</v>
      </c>
      <c r="C50" s="25" t="s">
        <v>96</v>
      </c>
      <c r="D50" s="25" t="s">
        <v>129</v>
      </c>
      <c r="E50" s="25" t="s">
        <v>130</v>
      </c>
      <c r="F50" s="25" t="s">
        <v>131</v>
      </c>
      <c r="G50" s="158" t="s">
        <v>132</v>
      </c>
    </row>
    <row r="51" spans="1:7" ht="12.75">
      <c r="A51" s="26" t="s">
        <v>1</v>
      </c>
      <c r="B51" s="26" t="s">
        <v>126</v>
      </c>
      <c r="C51" s="27">
        <v>9532</v>
      </c>
      <c r="D51" s="27">
        <v>3336200</v>
      </c>
      <c r="E51" s="155">
        <v>1687164</v>
      </c>
      <c r="F51" s="155">
        <v>1191500</v>
      </c>
      <c r="G51" s="155">
        <f>SUM(D51:F51)</f>
        <v>6214864</v>
      </c>
    </row>
    <row r="52" spans="2:7" ht="12.75">
      <c r="B52" s="26" t="s">
        <v>127</v>
      </c>
      <c r="C52" s="27">
        <v>2062</v>
      </c>
      <c r="D52" s="27">
        <v>913466</v>
      </c>
      <c r="E52" s="155">
        <v>276308</v>
      </c>
      <c r="F52" s="155">
        <v>154650</v>
      </c>
      <c r="G52" s="155">
        <f aca="true" t="shared" si="2" ref="G52:G84">SUM(D52:F52)</f>
        <v>1344424</v>
      </c>
    </row>
    <row r="53" spans="2:7" ht="12.75">
      <c r="B53" s="26" t="s">
        <v>139</v>
      </c>
      <c r="C53" s="27">
        <v>570</v>
      </c>
      <c r="D53" s="27">
        <v>343078</v>
      </c>
      <c r="E53" s="155">
        <v>28562</v>
      </c>
      <c r="F53" s="155">
        <v>0</v>
      </c>
      <c r="G53" s="155">
        <f t="shared" si="2"/>
        <v>371640</v>
      </c>
    </row>
    <row r="54" spans="2:7" s="38" customFormat="1" ht="12.75">
      <c r="B54" s="26" t="s">
        <v>7</v>
      </c>
      <c r="C54" s="28">
        <f>SUM(C51:C53)</f>
        <v>12164</v>
      </c>
      <c r="D54" s="28">
        <f>SUM(D51:D52)</f>
        <v>4249666</v>
      </c>
      <c r="E54" s="28">
        <f>SUM(E51:E52)</f>
        <v>1963472</v>
      </c>
      <c r="F54" s="28">
        <f>SUM(F51:F52)</f>
        <v>1346150</v>
      </c>
      <c r="G54" s="164">
        <f t="shared" si="2"/>
        <v>7559288</v>
      </c>
    </row>
    <row r="55" spans="3:7" ht="12.75">
      <c r="C55" s="46"/>
      <c r="D55" s="46"/>
      <c r="E55" s="156"/>
      <c r="F55" s="156"/>
      <c r="G55" s="155"/>
    </row>
    <row r="56" spans="1:7" ht="12.75">
      <c r="A56" s="26" t="s">
        <v>2</v>
      </c>
      <c r="B56" s="26" t="s">
        <v>126</v>
      </c>
      <c r="C56" s="27">
        <v>2219</v>
      </c>
      <c r="D56" s="27">
        <v>783307</v>
      </c>
      <c r="E56" s="155">
        <v>326193</v>
      </c>
      <c r="F56" s="155">
        <v>0</v>
      </c>
      <c r="G56" s="155">
        <f t="shared" si="2"/>
        <v>1109500</v>
      </c>
    </row>
    <row r="57" spans="2:7" ht="12.75">
      <c r="B57" s="26" t="s">
        <v>127</v>
      </c>
      <c r="C57" s="27">
        <v>471</v>
      </c>
      <c r="D57" s="27">
        <v>211008</v>
      </c>
      <c r="E57" s="155">
        <v>24492</v>
      </c>
      <c r="F57" s="155">
        <v>0</v>
      </c>
      <c r="G57" s="155">
        <f t="shared" si="2"/>
        <v>235500</v>
      </c>
    </row>
    <row r="58" spans="2:7" ht="12.75">
      <c r="B58" s="26" t="s">
        <v>139</v>
      </c>
      <c r="C58" s="27">
        <v>59</v>
      </c>
      <c r="D58" s="27">
        <v>27799</v>
      </c>
      <c r="E58" s="155">
        <v>1701</v>
      </c>
      <c r="F58" s="155"/>
      <c r="G58" s="155">
        <f t="shared" si="2"/>
        <v>29500</v>
      </c>
    </row>
    <row r="59" spans="2:7" s="38" customFormat="1" ht="12.75">
      <c r="B59" s="26" t="s">
        <v>7</v>
      </c>
      <c r="C59" s="28">
        <f>SUM(C56:C58)</f>
        <v>2749</v>
      </c>
      <c r="D59" s="28">
        <f>SUM(D56:D58)</f>
        <v>1022114</v>
      </c>
      <c r="E59" s="28">
        <f>SUM(E56:E58)</f>
        <v>352386</v>
      </c>
      <c r="F59" s="28">
        <f>SUM(F56:F57)</f>
        <v>0</v>
      </c>
      <c r="G59" s="164">
        <f t="shared" si="2"/>
        <v>1374500</v>
      </c>
    </row>
    <row r="60" spans="3:7" ht="12.75">
      <c r="C60" s="46"/>
      <c r="D60" s="46"/>
      <c r="E60" s="156"/>
      <c r="F60" s="156"/>
      <c r="G60" s="198"/>
    </row>
    <row r="61" spans="1:7" ht="12.75">
      <c r="A61" s="26" t="s">
        <v>3</v>
      </c>
      <c r="B61" s="26" t="s">
        <v>126</v>
      </c>
      <c r="C61" s="27">
        <v>2133</v>
      </c>
      <c r="D61" s="200" t="s">
        <v>136</v>
      </c>
      <c r="E61" s="200" t="s">
        <v>136</v>
      </c>
      <c r="F61" s="200" t="s">
        <v>136</v>
      </c>
      <c r="G61" s="200" t="s">
        <v>136</v>
      </c>
    </row>
    <row r="62" spans="2:7" ht="12.75">
      <c r="B62" s="26" t="s">
        <v>127</v>
      </c>
      <c r="C62" s="27">
        <v>311</v>
      </c>
      <c r="D62" s="200" t="s">
        <v>136</v>
      </c>
      <c r="E62" s="200" t="s">
        <v>136</v>
      </c>
      <c r="F62" s="200" t="s">
        <v>136</v>
      </c>
      <c r="G62" s="200" t="s">
        <v>136</v>
      </c>
    </row>
    <row r="63" spans="2:7" ht="12.75">
      <c r="B63" s="26" t="s">
        <v>139</v>
      </c>
      <c r="C63" s="27">
        <v>70</v>
      </c>
      <c r="D63" s="200" t="s">
        <v>136</v>
      </c>
      <c r="E63" s="200" t="s">
        <v>136</v>
      </c>
      <c r="F63" s="200" t="s">
        <v>136</v>
      </c>
      <c r="G63" s="200" t="s">
        <v>136</v>
      </c>
    </row>
    <row r="64" spans="2:7" ht="12.75">
      <c r="B64" s="26" t="s">
        <v>7</v>
      </c>
      <c r="C64" s="28">
        <f>SUM(C61:C63)</f>
        <v>2514</v>
      </c>
      <c r="D64" s="200" t="s">
        <v>136</v>
      </c>
      <c r="E64" s="200" t="s">
        <v>136</v>
      </c>
      <c r="F64" s="200" t="s">
        <v>136</v>
      </c>
      <c r="G64" s="200" t="s">
        <v>136</v>
      </c>
    </row>
    <row r="65" spans="3:7" ht="12.75">
      <c r="C65" s="46"/>
      <c r="D65" s="200"/>
      <c r="E65" s="200"/>
      <c r="F65" s="200"/>
      <c r="G65" s="200"/>
    </row>
    <row r="66" spans="1:7" ht="12.75">
      <c r="A66" s="26" t="s">
        <v>4</v>
      </c>
      <c r="B66" s="26" t="s">
        <v>126</v>
      </c>
      <c r="C66" s="27">
        <v>2909</v>
      </c>
      <c r="D66" s="200" t="s">
        <v>136</v>
      </c>
      <c r="E66" s="200" t="s">
        <v>136</v>
      </c>
      <c r="F66" s="200" t="s">
        <v>136</v>
      </c>
      <c r="G66" s="200" t="s">
        <v>136</v>
      </c>
    </row>
    <row r="67" spans="2:7" ht="12.75">
      <c r="B67" s="26" t="s">
        <v>127</v>
      </c>
      <c r="C67" s="27">
        <v>345</v>
      </c>
      <c r="D67" s="200" t="s">
        <v>136</v>
      </c>
      <c r="E67" s="200" t="s">
        <v>136</v>
      </c>
      <c r="F67" s="200" t="s">
        <v>136</v>
      </c>
      <c r="G67" s="200" t="s">
        <v>136</v>
      </c>
    </row>
    <row r="68" spans="2:7" ht="12.75">
      <c r="B68" s="26" t="s">
        <v>139</v>
      </c>
      <c r="C68" s="27">
        <v>59</v>
      </c>
      <c r="D68" s="200" t="s">
        <v>136</v>
      </c>
      <c r="E68" s="200" t="s">
        <v>136</v>
      </c>
      <c r="F68" s="200" t="s">
        <v>136</v>
      </c>
      <c r="G68" s="200" t="s">
        <v>136</v>
      </c>
    </row>
    <row r="69" spans="2:7" ht="12.75">
      <c r="B69" s="26" t="s">
        <v>7</v>
      </c>
      <c r="C69" s="28">
        <f>SUM(C66:C68)</f>
        <v>3313</v>
      </c>
      <c r="D69" s="200" t="s">
        <v>136</v>
      </c>
      <c r="E69" s="200" t="s">
        <v>136</v>
      </c>
      <c r="F69" s="200" t="s">
        <v>136</v>
      </c>
      <c r="G69" s="200" t="s">
        <v>136</v>
      </c>
    </row>
    <row r="70" spans="3:7" ht="12.75">
      <c r="C70" s="46"/>
      <c r="D70" s="46"/>
      <c r="E70" s="156"/>
      <c r="F70" s="156"/>
      <c r="G70" s="199"/>
    </row>
    <row r="71" spans="1:7" ht="12.75">
      <c r="A71" s="26" t="s">
        <v>5</v>
      </c>
      <c r="B71" s="26" t="s">
        <v>126</v>
      </c>
      <c r="C71" s="27">
        <v>1385</v>
      </c>
      <c r="D71" s="27">
        <v>524915</v>
      </c>
      <c r="E71" s="155">
        <v>263150</v>
      </c>
      <c r="F71" s="155">
        <v>596935</v>
      </c>
      <c r="G71" s="155">
        <f t="shared" si="2"/>
        <v>1385000</v>
      </c>
    </row>
    <row r="72" spans="2:7" ht="12.75">
      <c r="B72" s="26" t="s">
        <v>127</v>
      </c>
      <c r="C72" s="27">
        <v>172</v>
      </c>
      <c r="D72" s="27">
        <v>82389</v>
      </c>
      <c r="E72" s="155">
        <v>23391</v>
      </c>
      <c r="F72" s="155">
        <v>66220</v>
      </c>
      <c r="G72" s="155">
        <f t="shared" si="2"/>
        <v>172000</v>
      </c>
    </row>
    <row r="73" spans="2:7" ht="12.75">
      <c r="B73" s="26" t="s">
        <v>139</v>
      </c>
      <c r="C73" s="27">
        <v>44</v>
      </c>
      <c r="D73" s="27">
        <v>41532</v>
      </c>
      <c r="E73" s="155">
        <v>2468</v>
      </c>
      <c r="F73" s="155">
        <v>0</v>
      </c>
      <c r="G73" s="155">
        <f t="shared" si="2"/>
        <v>44000</v>
      </c>
    </row>
    <row r="74" spans="2:7" s="38" customFormat="1" ht="12.75">
      <c r="B74" s="26" t="s">
        <v>7</v>
      </c>
      <c r="C74" s="28">
        <f>SUM(C71:C73)</f>
        <v>1601</v>
      </c>
      <c r="D74" s="28">
        <f>SUM(D71:D73)</f>
        <v>648836</v>
      </c>
      <c r="E74" s="28">
        <f>SUM(E71:E73)</f>
        <v>289009</v>
      </c>
      <c r="F74" s="28">
        <f>SUM(F71:F72)</f>
        <v>663155</v>
      </c>
      <c r="G74" s="164">
        <f t="shared" si="2"/>
        <v>1601000</v>
      </c>
    </row>
    <row r="75" spans="3:7" ht="12.75">
      <c r="C75" s="46"/>
      <c r="D75" s="46"/>
      <c r="E75" s="156"/>
      <c r="F75" s="156"/>
      <c r="G75" s="155"/>
    </row>
    <row r="76" spans="1:7" ht="12.75">
      <c r="A76" s="26" t="s">
        <v>6</v>
      </c>
      <c r="B76" s="26" t="s">
        <v>126</v>
      </c>
      <c r="C76" s="27">
        <v>2108</v>
      </c>
      <c r="D76" s="27">
        <v>769420</v>
      </c>
      <c r="E76" s="155">
        <v>284580</v>
      </c>
      <c r="F76" s="155">
        <v>0</v>
      </c>
      <c r="G76" s="155">
        <f t="shared" si="2"/>
        <v>1054000</v>
      </c>
    </row>
    <row r="77" spans="2:7" ht="12.75">
      <c r="B77" s="26" t="s">
        <v>127</v>
      </c>
      <c r="C77" s="27">
        <v>352</v>
      </c>
      <c r="D77" s="27">
        <v>162272</v>
      </c>
      <c r="E77" s="155">
        <v>13728</v>
      </c>
      <c r="F77" s="155">
        <v>0</v>
      </c>
      <c r="G77" s="155">
        <f t="shared" si="2"/>
        <v>176000</v>
      </c>
    </row>
    <row r="78" spans="2:7" ht="12.75">
      <c r="B78" s="26" t="s">
        <v>139</v>
      </c>
      <c r="C78" s="27">
        <v>37</v>
      </c>
      <c r="D78" s="27">
        <v>17377</v>
      </c>
      <c r="E78" s="155">
        <v>1123</v>
      </c>
      <c r="F78" s="155">
        <v>0</v>
      </c>
      <c r="G78" s="155">
        <f t="shared" si="2"/>
        <v>18500</v>
      </c>
    </row>
    <row r="79" spans="2:7" s="38" customFormat="1" ht="12.75">
      <c r="B79" s="26" t="s">
        <v>7</v>
      </c>
      <c r="C79" s="28">
        <f>SUM(C76:C78)</f>
        <v>2497</v>
      </c>
      <c r="D79" s="28">
        <f>SUM(D76:D78)</f>
        <v>949069</v>
      </c>
      <c r="E79" s="28">
        <f>SUM(E76:E78)</f>
        <v>299431</v>
      </c>
      <c r="F79" s="28">
        <f>SUM(F76:F78)</f>
        <v>0</v>
      </c>
      <c r="G79" s="164">
        <f t="shared" si="2"/>
        <v>1248500</v>
      </c>
    </row>
    <row r="80" spans="3:7" ht="12.75">
      <c r="C80" s="46"/>
      <c r="D80" s="46"/>
      <c r="E80" s="156"/>
      <c r="F80" s="156"/>
      <c r="G80" s="155"/>
    </row>
    <row r="81" spans="1:7" ht="12.75">
      <c r="A81" s="26" t="s">
        <v>7</v>
      </c>
      <c r="B81" s="26" t="s">
        <v>126</v>
      </c>
      <c r="C81" s="28">
        <f>SUM(C51+C56+C71+C76)</f>
        <v>15244</v>
      </c>
      <c r="D81" s="28">
        <f>SUM(D51+D56+D71+D76)</f>
        <v>5413842</v>
      </c>
      <c r="E81" s="28">
        <f>SUM(E51+E56+E71+E76)</f>
        <v>2561087</v>
      </c>
      <c r="F81" s="28">
        <f>SUM(F51+F56+F71+F76)</f>
        <v>1788435</v>
      </c>
      <c r="G81" s="164">
        <f t="shared" si="2"/>
        <v>9763364</v>
      </c>
    </row>
    <row r="82" spans="2:7" ht="12.75">
      <c r="B82" s="26" t="s">
        <v>127</v>
      </c>
      <c r="C82" s="28">
        <f>SUM(C52+C57+C72+C77)</f>
        <v>3057</v>
      </c>
      <c r="D82" s="28">
        <f>SUM(D52+D57+D72+D77)</f>
        <v>1369135</v>
      </c>
      <c r="E82" s="28">
        <f>SUM(E52+E57+E72+E77)</f>
        <v>337919</v>
      </c>
      <c r="F82" s="28">
        <f>SUM(F52+F57+F72+F77)</f>
        <v>220870</v>
      </c>
      <c r="G82" s="164">
        <f t="shared" si="2"/>
        <v>1927924</v>
      </c>
    </row>
    <row r="83" spans="2:7" ht="12.75">
      <c r="B83" s="26" t="s">
        <v>139</v>
      </c>
      <c r="C83" s="28">
        <f>SUM(C53+C58+C73+C78)</f>
        <v>710</v>
      </c>
      <c r="D83" s="28">
        <f>SUM(D53+D58+D73+D78)</f>
        <v>429786</v>
      </c>
      <c r="E83" s="28">
        <f>SUM(E53+E58+E73+E78)</f>
        <v>33854</v>
      </c>
      <c r="F83" s="28">
        <f>SUM(F53+F58+F73+F78)</f>
        <v>0</v>
      </c>
      <c r="G83" s="164">
        <f t="shared" si="2"/>
        <v>463640</v>
      </c>
    </row>
    <row r="84" spans="2:7" ht="12.75">
      <c r="B84" s="26" t="s">
        <v>128</v>
      </c>
      <c r="C84" s="28">
        <f>SUM(C54+C59+C74+C79)</f>
        <v>19011</v>
      </c>
      <c r="D84" s="28">
        <f>SUM(D54+D59+D74+D79)</f>
        <v>6869685</v>
      </c>
      <c r="E84" s="28">
        <f>SUM(E54+E59+E74+E79)</f>
        <v>2904298</v>
      </c>
      <c r="F84" s="28">
        <f>SUM(F54+F59+F74+F79)</f>
        <v>2009305</v>
      </c>
      <c r="G84" s="164">
        <f t="shared" si="2"/>
        <v>11783288</v>
      </c>
    </row>
    <row r="85" spans="6:7" ht="12.75">
      <c r="F85" s="197"/>
      <c r="G85" s="197"/>
    </row>
    <row r="86" spans="1:7" ht="12.75">
      <c r="A86" t="s">
        <v>134</v>
      </c>
      <c r="F86" s="197"/>
      <c r="G86" s="197"/>
    </row>
    <row r="87" spans="1:7" ht="12.75">
      <c r="A87" t="s">
        <v>135</v>
      </c>
      <c r="F87" s="197"/>
      <c r="G87" s="197"/>
    </row>
    <row r="88" spans="6:7" ht="12.75">
      <c r="F88" s="197"/>
      <c r="G88" s="197"/>
    </row>
    <row r="89" spans="6:7" ht="12.75">
      <c r="F89" s="197"/>
      <c r="G89" s="197"/>
    </row>
    <row r="90" spans="6:7" ht="12.75">
      <c r="F90" s="197"/>
      <c r="G90" s="197"/>
    </row>
    <row r="91" spans="6:7" ht="12.75">
      <c r="F91" s="197"/>
      <c r="G91" s="197"/>
    </row>
    <row r="92" spans="6:7" ht="12.75">
      <c r="F92" s="197"/>
      <c r="G92" s="197"/>
    </row>
    <row r="93" spans="6:7" ht="12.75">
      <c r="F93" s="197"/>
      <c r="G93" s="197"/>
    </row>
    <row r="94" spans="6:7" ht="12.75">
      <c r="F94" s="197"/>
      <c r="G94" s="197"/>
    </row>
    <row r="95" spans="6:7" ht="12.75">
      <c r="F95" s="197"/>
      <c r="G95" s="197"/>
    </row>
    <row r="96" spans="6:7" ht="12.75">
      <c r="F96" s="197"/>
      <c r="G96" s="197"/>
    </row>
    <row r="97" spans="6:7" ht="12.75">
      <c r="F97" s="197"/>
      <c r="G97" s="197"/>
    </row>
    <row r="98" spans="6:7" ht="12.75">
      <c r="F98" s="197"/>
      <c r="G98" s="197"/>
    </row>
    <row r="99" spans="6:7" ht="12.75">
      <c r="F99" s="197"/>
      <c r="G99" s="197"/>
    </row>
    <row r="100" spans="6:7" ht="12.75">
      <c r="F100" s="197"/>
      <c r="G100" s="197"/>
    </row>
  </sheetData>
  <mergeCells count="16"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</mergeCells>
  <printOptions/>
  <pageMargins left="0.41" right="0.3" top="0.38" bottom="0.19" header="0.22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Csat.Tars.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P42</dc:creator>
  <cp:keywords/>
  <dc:description/>
  <cp:lastModifiedBy>P42</cp:lastModifiedBy>
  <cp:lastPrinted>2011-03-10T12:12:41Z</cp:lastPrinted>
  <dcterms:created xsi:type="dcterms:W3CDTF">2008-08-18T12:41:55Z</dcterms:created>
  <dcterms:modified xsi:type="dcterms:W3CDTF">2011-03-10T12:13:48Z</dcterms:modified>
  <cp:category/>
  <cp:version/>
  <cp:contentType/>
  <cp:contentStatus/>
</cp:coreProperties>
</file>